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Alcioni\Planejamentos de Viagens\Planilha\"/>
    </mc:Choice>
  </mc:AlternateContent>
  <xr:revisionPtr revIDLastSave="0" documentId="13_ncr:1_{7CC77E78-A70D-41D0-8840-B22093BD1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teiros" sheetId="15" r:id="rId1"/>
    <sheet name="Passeios" sheetId="16" r:id="rId2"/>
    <sheet name="Calendario" sheetId="8" r:id="rId3"/>
    <sheet name="Feriados" sheetId="9" state="hidden" r:id="rId4"/>
  </sheets>
  <definedNames>
    <definedName name="_Abr1">Calendario!$A$15</definedName>
    <definedName name="_Ago1">Calendario!$I$24</definedName>
    <definedName name="_Brz1">Feriados!$B$4:$B$14</definedName>
    <definedName name="_Brz2">Feriados!$B$17:$B$24</definedName>
    <definedName name="_Dez1">Calendario!$Q$33</definedName>
    <definedName name="_Fev1">Calendario!$I$6</definedName>
    <definedName name="_Jan1">Calendario!$A$6</definedName>
    <definedName name="_Jul1">Calendario!$A$24</definedName>
    <definedName name="_Jun1">Calendario!$Q$15</definedName>
    <definedName name="_Mai1">Calendario!$I$15</definedName>
    <definedName name="_Mar1">Calendario!$Q$6</definedName>
    <definedName name="_Nov1">Calendario!$I$33</definedName>
    <definedName name="_Out1">Calendario!$A$33</definedName>
    <definedName name="_Set1">Calendario!$Q$24</definedName>
    <definedName name="ano">Calendario!$C$2</definedName>
    <definedName name="_xlnm.Print_Area" localSheetId="2">Calendario!$A$4:$W$40</definedName>
    <definedName name="_xlnm.Print_Area" localSheetId="1">Passeios!$A$1:$G$80</definedName>
    <definedName name="_xlnm.Print_Area" localSheetId="0">Roteiros!$B$1:$Y$69</definedName>
    <definedName name="Exibir_Dat_Com">Calendario!$AE$2</definedName>
    <definedName name="Exibir_Fer_EUA">Calendario!$AG$2</definedName>
    <definedName name="Exibir_Fer_Nac">Calendario!$AC$2</definedName>
    <definedName name="Meses">Calendario!$A$8:$G$13,Calendario!$I$8:$O$13,Calendario!$Q$8:$W$13,Calendario!$A$17:$G$22,Calendario!$I$17:$O$22,Calendario!$Q$17:$W$22,Calendario!$A$26:$G$31,Calendario!$I$26:$O$31,Calendario!$Q$26:$W$31,Calendario!$A$35:$G$40,Calendario!$I$35:$O$40,Calendario!$Q$35:$W$40</definedName>
    <definedName name="Páscoa">Feriados!$B$6</definedName>
    <definedName name="USA">Feriados!$B$27:$B$34</definedName>
  </definedNames>
  <calcPr calcId="181029"/>
</workbook>
</file>

<file path=xl/calcChain.xml><?xml version="1.0" encoding="utf-8"?>
<calcChain xmlns="http://schemas.openxmlformats.org/spreadsheetml/2006/main">
  <c r="V67" i="15" l="1"/>
  <c r="Q11" i="15" s="1"/>
  <c r="F80" i="16"/>
  <c r="M17" i="15"/>
  <c r="B9" i="15" l="1"/>
  <c r="F17" i="15" l="1"/>
  <c r="B17" i="15"/>
  <c r="C17" i="15"/>
  <c r="C18" i="15" s="1"/>
  <c r="P67" i="15"/>
  <c r="O11" i="15" s="1"/>
  <c r="W67" i="15"/>
  <c r="O13" i="15" s="1"/>
  <c r="U67" i="15"/>
  <c r="Q7" i="15" s="1"/>
  <c r="T67" i="15"/>
  <c r="O7" i="15" s="1"/>
  <c r="Q67" i="15"/>
  <c r="J67" i="15"/>
  <c r="H9" i="15" s="1"/>
  <c r="G16" i="8"/>
  <c r="O16" i="8" s="1"/>
  <c r="W16" i="8" s="1"/>
  <c r="F16" i="8"/>
  <c r="N16" i="8" s="1"/>
  <c r="V16" i="8" s="1"/>
  <c r="E16" i="8"/>
  <c r="E25" i="8" s="1"/>
  <c r="D16" i="8"/>
  <c r="L16" i="8" s="1"/>
  <c r="T16" i="8" s="1"/>
  <c r="C16" i="8"/>
  <c r="C25" i="8" s="1"/>
  <c r="B16" i="8"/>
  <c r="B25" i="8" s="1"/>
  <c r="A16" i="8"/>
  <c r="A25" i="8" s="1"/>
  <c r="O7" i="8"/>
  <c r="W7" i="8" s="1"/>
  <c r="N7" i="8"/>
  <c r="V7" i="8" s="1"/>
  <c r="M7" i="8"/>
  <c r="U7" i="8" s="1"/>
  <c r="L7" i="8"/>
  <c r="T7" i="8"/>
  <c r="K7" i="8"/>
  <c r="S7" i="8" s="1"/>
  <c r="J7" i="8"/>
  <c r="R7" i="8" s="1"/>
  <c r="I7" i="8"/>
  <c r="Q7" i="8" s="1"/>
  <c r="C2" i="8"/>
  <c r="B31" i="9" s="1"/>
  <c r="M16" i="8"/>
  <c r="U16" i="8" s="1"/>
  <c r="D25" i="8" l="1"/>
  <c r="D34" i="8" s="1"/>
  <c r="L34" i="8" s="1"/>
  <c r="T34" i="8" s="1"/>
  <c r="I25" i="8"/>
  <c r="Q25" i="8" s="1"/>
  <c r="A34" i="8"/>
  <c r="I34" i="8" s="1"/>
  <c r="Q34" i="8" s="1"/>
  <c r="E34" i="8"/>
  <c r="M34" i="8" s="1"/>
  <c r="U34" i="8" s="1"/>
  <c r="M25" i="8"/>
  <c r="U25" i="8" s="1"/>
  <c r="I16" i="8"/>
  <c r="Q16" i="8" s="1"/>
  <c r="F25" i="8"/>
  <c r="F34" i="8" s="1"/>
  <c r="N34" i="8" s="1"/>
  <c r="V34" i="8" s="1"/>
  <c r="K16" i="8"/>
  <c r="S16" i="8" s="1"/>
  <c r="B18" i="15"/>
  <c r="O17" i="15"/>
  <c r="X17" i="15" s="1"/>
  <c r="A33" i="8"/>
  <c r="A35" i="8" s="1"/>
  <c r="B35" i="8" s="1"/>
  <c r="C35" i="8" s="1"/>
  <c r="D35" i="8" s="1"/>
  <c r="E35" i="8" s="1"/>
  <c r="F35" i="8" s="1"/>
  <c r="G35" i="8" s="1"/>
  <c r="A36" i="8" s="1"/>
  <c r="B36" i="8" s="1"/>
  <c r="C36" i="8" s="1"/>
  <c r="D36" i="8" s="1"/>
  <c r="E36" i="8" s="1"/>
  <c r="F36" i="8" s="1"/>
  <c r="G36" i="8" s="1"/>
  <c r="A37" i="8" s="1"/>
  <c r="B37" i="8" s="1"/>
  <c r="C37" i="8" s="1"/>
  <c r="D37" i="8" s="1"/>
  <c r="E37" i="8" s="1"/>
  <c r="F37" i="8" s="1"/>
  <c r="G37" i="8" s="1"/>
  <c r="A38" i="8" s="1"/>
  <c r="B38" i="8" s="1"/>
  <c r="C38" i="8" s="1"/>
  <c r="D38" i="8" s="1"/>
  <c r="E38" i="8" s="1"/>
  <c r="F38" i="8" s="1"/>
  <c r="G38" i="8" s="1"/>
  <c r="A39" i="8" s="1"/>
  <c r="B39" i="8" s="1"/>
  <c r="C39" i="8" s="1"/>
  <c r="D39" i="8" s="1"/>
  <c r="E39" i="8" s="1"/>
  <c r="F39" i="8" s="1"/>
  <c r="G39" i="8" s="1"/>
  <c r="A40" i="8" s="1"/>
  <c r="B40" i="8" s="1"/>
  <c r="C40" i="8" s="1"/>
  <c r="D40" i="8" s="1"/>
  <c r="E40" i="8" s="1"/>
  <c r="F40" i="8" s="1"/>
  <c r="G40" i="8" s="1"/>
  <c r="Q24" i="8"/>
  <c r="Q26" i="8" s="1"/>
  <c r="R26" i="8" s="1"/>
  <c r="S26" i="8" s="1"/>
  <c r="T26" i="8" s="1"/>
  <c r="U26" i="8" s="1"/>
  <c r="V26" i="8" s="1"/>
  <c r="W26" i="8" s="1"/>
  <c r="Q27" i="8" s="1"/>
  <c r="R27" i="8" s="1"/>
  <c r="S27" i="8" s="1"/>
  <c r="T27" i="8" s="1"/>
  <c r="U27" i="8" s="1"/>
  <c r="V27" i="8" s="1"/>
  <c r="W27" i="8" s="1"/>
  <c r="Q28" i="8" s="1"/>
  <c r="R28" i="8" s="1"/>
  <c r="S28" i="8" s="1"/>
  <c r="T28" i="8" s="1"/>
  <c r="U28" i="8" s="1"/>
  <c r="V28" i="8" s="1"/>
  <c r="W28" i="8" s="1"/>
  <c r="Q29" i="8" s="1"/>
  <c r="R29" i="8" s="1"/>
  <c r="S29" i="8" s="1"/>
  <c r="T29" i="8" s="1"/>
  <c r="U29" i="8" s="1"/>
  <c r="V29" i="8" s="1"/>
  <c r="W29" i="8" s="1"/>
  <c r="Q30" i="8" s="1"/>
  <c r="R30" i="8" s="1"/>
  <c r="S30" i="8" s="1"/>
  <c r="T30" i="8" s="1"/>
  <c r="U30" i="8" s="1"/>
  <c r="V30" i="8" s="1"/>
  <c r="W30" i="8" s="1"/>
  <c r="Q31" i="8" s="1"/>
  <c r="R31" i="8" s="1"/>
  <c r="S31" i="8" s="1"/>
  <c r="T31" i="8" s="1"/>
  <c r="U31" i="8" s="1"/>
  <c r="V31" i="8" s="1"/>
  <c r="W31" i="8" s="1"/>
  <c r="W4" i="8"/>
  <c r="J25" i="8"/>
  <c r="R25" i="8" s="1"/>
  <c r="B34" i="8"/>
  <c r="J34" i="8" s="1"/>
  <c r="R34" i="8" s="1"/>
  <c r="K25" i="8"/>
  <c r="S25" i="8" s="1"/>
  <c r="C34" i="8"/>
  <c r="K34" i="8" s="1"/>
  <c r="S34" i="8" s="1"/>
  <c r="L25" i="8"/>
  <c r="T25" i="8" s="1"/>
  <c r="J16" i="8"/>
  <c r="R16" i="8" s="1"/>
  <c r="G25" i="8"/>
  <c r="K17" i="15"/>
  <c r="I9" i="15"/>
  <c r="D17" i="15"/>
  <c r="E17" i="15" s="1"/>
  <c r="H11" i="15"/>
  <c r="C19" i="15"/>
  <c r="D18" i="15"/>
  <c r="E18" i="15" s="1"/>
  <c r="B20" i="9"/>
  <c r="A15" i="8"/>
  <c r="A17" i="8" s="1"/>
  <c r="B17" i="8" s="1"/>
  <c r="C17" i="8" s="1"/>
  <c r="D17" i="8" s="1"/>
  <c r="E17" i="8" s="1"/>
  <c r="F17" i="8" s="1"/>
  <c r="G17" i="8" s="1"/>
  <c r="A18" i="8" s="1"/>
  <c r="B18" i="8" s="1"/>
  <c r="C18" i="8" s="1"/>
  <c r="D18" i="8" s="1"/>
  <c r="E18" i="8" s="1"/>
  <c r="F18" i="8" s="1"/>
  <c r="G18" i="8" s="1"/>
  <c r="A19" i="8" s="1"/>
  <c r="B19" i="8" s="1"/>
  <c r="C19" i="8" s="1"/>
  <c r="D19" i="8" s="1"/>
  <c r="E19" i="8" s="1"/>
  <c r="F19" i="8" s="1"/>
  <c r="G19" i="8" s="1"/>
  <c r="A20" i="8" s="1"/>
  <c r="B20" i="8" s="1"/>
  <c r="C20" i="8" s="1"/>
  <c r="D20" i="8" s="1"/>
  <c r="E20" i="8" s="1"/>
  <c r="F20" i="8" s="1"/>
  <c r="G20" i="8" s="1"/>
  <c r="A21" i="8" s="1"/>
  <c r="B21" i="8" s="1"/>
  <c r="C21" i="8" s="1"/>
  <c r="D21" i="8" s="1"/>
  <c r="E21" i="8" s="1"/>
  <c r="F21" i="8" s="1"/>
  <c r="G21" i="8" s="1"/>
  <c r="A22" i="8" s="1"/>
  <c r="B22" i="8" s="1"/>
  <c r="C22" i="8" s="1"/>
  <c r="D22" i="8" s="1"/>
  <c r="E22" i="8" s="1"/>
  <c r="F22" i="8" s="1"/>
  <c r="G22" i="8" s="1"/>
  <c r="B7" i="9"/>
  <c r="B34" i="9"/>
  <c r="B6" i="9"/>
  <c r="B18" i="9" s="1"/>
  <c r="B24" i="9"/>
  <c r="A1" i="9"/>
  <c r="B28" i="9"/>
  <c r="Q6" i="8"/>
  <c r="Q8" i="8" s="1"/>
  <c r="R8" i="8" s="1"/>
  <c r="S8" i="8" s="1"/>
  <c r="T8" i="8" s="1"/>
  <c r="U8" i="8" s="1"/>
  <c r="V8" i="8" s="1"/>
  <c r="W8" i="8" s="1"/>
  <c r="Q9" i="8" s="1"/>
  <c r="R9" i="8" s="1"/>
  <c r="S9" i="8" s="1"/>
  <c r="T9" i="8" s="1"/>
  <c r="U9" i="8" s="1"/>
  <c r="V9" i="8" s="1"/>
  <c r="W9" i="8" s="1"/>
  <c r="Q10" i="8" s="1"/>
  <c r="R10" i="8" s="1"/>
  <c r="S10" i="8" s="1"/>
  <c r="T10" i="8" s="1"/>
  <c r="U10" i="8" s="1"/>
  <c r="V10" i="8" s="1"/>
  <c r="W10" i="8" s="1"/>
  <c r="Q11" i="8" s="1"/>
  <c r="R11" i="8" s="1"/>
  <c r="S11" i="8" s="1"/>
  <c r="T11" i="8" s="1"/>
  <c r="U11" i="8" s="1"/>
  <c r="V11" i="8" s="1"/>
  <c r="W11" i="8" s="1"/>
  <c r="Q12" i="8" s="1"/>
  <c r="R12" i="8" s="1"/>
  <c r="S12" i="8" s="1"/>
  <c r="T12" i="8" s="1"/>
  <c r="U12" i="8" s="1"/>
  <c r="V12" i="8" s="1"/>
  <c r="W12" i="8" s="1"/>
  <c r="Q13" i="8" s="1"/>
  <c r="R13" i="8" s="1"/>
  <c r="S13" i="8" s="1"/>
  <c r="T13" i="8" s="1"/>
  <c r="U13" i="8" s="1"/>
  <c r="V13" i="8" s="1"/>
  <c r="W13" i="8" s="1"/>
  <c r="B27" i="9"/>
  <c r="B8" i="9"/>
  <c r="B13" i="9"/>
  <c r="B23" i="9"/>
  <c r="B10" i="9"/>
  <c r="B14" i="9"/>
  <c r="I15" i="8"/>
  <c r="I17" i="8" s="1"/>
  <c r="J17" i="8" s="1"/>
  <c r="K17" i="8" s="1"/>
  <c r="L17" i="8" s="1"/>
  <c r="M17" i="8" s="1"/>
  <c r="N17" i="8" s="1"/>
  <c r="O17" i="8" s="1"/>
  <c r="I18" i="8" s="1"/>
  <c r="J18" i="8" s="1"/>
  <c r="K18" i="8" s="1"/>
  <c r="L18" i="8" s="1"/>
  <c r="M18" i="8" s="1"/>
  <c r="N18" i="8" s="1"/>
  <c r="O18" i="8" s="1"/>
  <c r="I19" i="8" s="1"/>
  <c r="J19" i="8" s="1"/>
  <c r="K19" i="8" s="1"/>
  <c r="L19" i="8" s="1"/>
  <c r="M19" i="8" s="1"/>
  <c r="N19" i="8" s="1"/>
  <c r="O19" i="8" s="1"/>
  <c r="I20" i="8" s="1"/>
  <c r="J20" i="8" s="1"/>
  <c r="K20" i="8" s="1"/>
  <c r="L20" i="8" s="1"/>
  <c r="M20" i="8" s="1"/>
  <c r="N20" i="8" s="1"/>
  <c r="O20" i="8" s="1"/>
  <c r="I21" i="8" s="1"/>
  <c r="J21" i="8" s="1"/>
  <c r="K21" i="8" s="1"/>
  <c r="L21" i="8" s="1"/>
  <c r="M21" i="8" s="1"/>
  <c r="N21" i="8" s="1"/>
  <c r="O21" i="8" s="1"/>
  <c r="I22" i="8" s="1"/>
  <c r="J22" i="8" s="1"/>
  <c r="K22" i="8" s="1"/>
  <c r="L22" i="8" s="1"/>
  <c r="M22" i="8" s="1"/>
  <c r="N22" i="8" s="1"/>
  <c r="O22" i="8" s="1"/>
  <c r="Q33" i="8"/>
  <c r="Q35" i="8" s="1"/>
  <c r="R35" i="8" s="1"/>
  <c r="S35" i="8" s="1"/>
  <c r="T35" i="8" s="1"/>
  <c r="U35" i="8" s="1"/>
  <c r="V35" i="8" s="1"/>
  <c r="W35" i="8" s="1"/>
  <c r="Q36" i="8" s="1"/>
  <c r="R36" i="8" s="1"/>
  <c r="S36" i="8" s="1"/>
  <c r="T36" i="8" s="1"/>
  <c r="U36" i="8" s="1"/>
  <c r="V36" i="8" s="1"/>
  <c r="W36" i="8" s="1"/>
  <c r="Q37" i="8" s="1"/>
  <c r="R37" i="8" s="1"/>
  <c r="S37" i="8" s="1"/>
  <c r="T37" i="8" s="1"/>
  <c r="U37" i="8" s="1"/>
  <c r="V37" i="8" s="1"/>
  <c r="W37" i="8" s="1"/>
  <c r="Q38" i="8" s="1"/>
  <c r="R38" i="8" s="1"/>
  <c r="S38" i="8" s="1"/>
  <c r="T38" i="8" s="1"/>
  <c r="U38" i="8" s="1"/>
  <c r="V38" i="8" s="1"/>
  <c r="W38" i="8" s="1"/>
  <c r="Q39" i="8" s="1"/>
  <c r="R39" i="8" s="1"/>
  <c r="S39" i="8" s="1"/>
  <c r="T39" i="8" s="1"/>
  <c r="U39" i="8" s="1"/>
  <c r="V39" i="8" s="1"/>
  <c r="W39" i="8" s="1"/>
  <c r="Q40" i="8" s="1"/>
  <c r="R40" i="8" s="1"/>
  <c r="S40" i="8" s="1"/>
  <c r="T40" i="8" s="1"/>
  <c r="U40" i="8" s="1"/>
  <c r="V40" i="8" s="1"/>
  <c r="W40" i="8" s="1"/>
  <c r="B30" i="9"/>
  <c r="B4" i="9"/>
  <c r="I24" i="8"/>
  <c r="I26" i="8" s="1"/>
  <c r="J26" i="8" s="1"/>
  <c r="K26" i="8" s="1"/>
  <c r="L26" i="8" s="1"/>
  <c r="M26" i="8" s="1"/>
  <c r="N26" i="8" s="1"/>
  <c r="O26" i="8" s="1"/>
  <c r="I27" i="8" s="1"/>
  <c r="J27" i="8" s="1"/>
  <c r="K27" i="8" s="1"/>
  <c r="L27" i="8" s="1"/>
  <c r="M27" i="8" s="1"/>
  <c r="N27" i="8" s="1"/>
  <c r="O27" i="8" s="1"/>
  <c r="I28" i="8" s="1"/>
  <c r="J28" i="8" s="1"/>
  <c r="K28" i="8" s="1"/>
  <c r="L28" i="8" s="1"/>
  <c r="M28" i="8" s="1"/>
  <c r="N28" i="8" s="1"/>
  <c r="O28" i="8" s="1"/>
  <c r="I29" i="8" s="1"/>
  <c r="J29" i="8" s="1"/>
  <c r="K29" i="8" s="1"/>
  <c r="L29" i="8" s="1"/>
  <c r="M29" i="8" s="1"/>
  <c r="N29" i="8" s="1"/>
  <c r="O29" i="8" s="1"/>
  <c r="I30" i="8" s="1"/>
  <c r="J30" i="8" s="1"/>
  <c r="K30" i="8" s="1"/>
  <c r="L30" i="8" s="1"/>
  <c r="M30" i="8" s="1"/>
  <c r="N30" i="8" s="1"/>
  <c r="O30" i="8" s="1"/>
  <c r="I31" i="8" s="1"/>
  <c r="J31" i="8" s="1"/>
  <c r="K31" i="8" s="1"/>
  <c r="L31" i="8" s="1"/>
  <c r="M31" i="8" s="1"/>
  <c r="N31" i="8" s="1"/>
  <c r="O31" i="8" s="1"/>
  <c r="B21" i="9"/>
  <c r="B12" i="9"/>
  <c r="Q15" i="8"/>
  <c r="Q17" i="8" s="1"/>
  <c r="R17" i="8" s="1"/>
  <c r="S17" i="8" s="1"/>
  <c r="T17" i="8" s="1"/>
  <c r="U17" i="8" s="1"/>
  <c r="V17" i="8" s="1"/>
  <c r="W17" i="8" s="1"/>
  <c r="Q18" i="8" s="1"/>
  <c r="R18" i="8" s="1"/>
  <c r="S18" i="8" s="1"/>
  <c r="T18" i="8" s="1"/>
  <c r="U18" i="8" s="1"/>
  <c r="V18" i="8" s="1"/>
  <c r="W18" i="8" s="1"/>
  <c r="Q19" i="8" s="1"/>
  <c r="R19" i="8" s="1"/>
  <c r="S19" i="8" s="1"/>
  <c r="T19" i="8" s="1"/>
  <c r="U19" i="8" s="1"/>
  <c r="V19" i="8" s="1"/>
  <c r="W19" i="8" s="1"/>
  <c r="Q20" i="8" s="1"/>
  <c r="R20" i="8" s="1"/>
  <c r="S20" i="8" s="1"/>
  <c r="T20" i="8" s="1"/>
  <c r="U20" i="8" s="1"/>
  <c r="V20" i="8" s="1"/>
  <c r="W20" i="8" s="1"/>
  <c r="Q21" i="8" s="1"/>
  <c r="R21" i="8" s="1"/>
  <c r="S21" i="8" s="1"/>
  <c r="T21" i="8" s="1"/>
  <c r="U21" i="8" s="1"/>
  <c r="V21" i="8" s="1"/>
  <c r="W21" i="8" s="1"/>
  <c r="Q22" i="8" s="1"/>
  <c r="R22" i="8" s="1"/>
  <c r="S22" i="8" s="1"/>
  <c r="T22" i="8" s="1"/>
  <c r="U22" i="8" s="1"/>
  <c r="V22" i="8" s="1"/>
  <c r="W22" i="8" s="1"/>
  <c r="B33" i="9"/>
  <c r="A24" i="8"/>
  <c r="A26" i="8" s="1"/>
  <c r="B26" i="8" s="1"/>
  <c r="C26" i="8" s="1"/>
  <c r="D26" i="8" s="1"/>
  <c r="E26" i="8" s="1"/>
  <c r="F26" i="8" s="1"/>
  <c r="G26" i="8" s="1"/>
  <c r="A27" i="8" s="1"/>
  <c r="B27" i="8" s="1"/>
  <c r="C27" i="8" s="1"/>
  <c r="D27" i="8" s="1"/>
  <c r="E27" i="8" s="1"/>
  <c r="F27" i="8" s="1"/>
  <c r="G27" i="8" s="1"/>
  <c r="A28" i="8" s="1"/>
  <c r="B28" i="8" s="1"/>
  <c r="C28" i="8" s="1"/>
  <c r="D28" i="8" s="1"/>
  <c r="E28" i="8" s="1"/>
  <c r="F28" i="8" s="1"/>
  <c r="G28" i="8" s="1"/>
  <c r="A29" i="8" s="1"/>
  <c r="B29" i="8" s="1"/>
  <c r="C29" i="8" s="1"/>
  <c r="D29" i="8" s="1"/>
  <c r="E29" i="8" s="1"/>
  <c r="F29" i="8" s="1"/>
  <c r="G29" i="8" s="1"/>
  <c r="A30" i="8" s="1"/>
  <c r="B30" i="8" s="1"/>
  <c r="C30" i="8" s="1"/>
  <c r="D30" i="8" s="1"/>
  <c r="E30" i="8" s="1"/>
  <c r="F30" i="8" s="1"/>
  <c r="G30" i="8" s="1"/>
  <c r="A31" i="8" s="1"/>
  <c r="B31" i="8" s="1"/>
  <c r="C31" i="8" s="1"/>
  <c r="D31" i="8" s="1"/>
  <c r="E31" i="8" s="1"/>
  <c r="F31" i="8" s="1"/>
  <c r="G31" i="8" s="1"/>
  <c r="I6" i="8"/>
  <c r="I8" i="8" s="1"/>
  <c r="J8" i="8" s="1"/>
  <c r="K8" i="8" s="1"/>
  <c r="L8" i="8" s="1"/>
  <c r="M8" i="8" s="1"/>
  <c r="N8" i="8" s="1"/>
  <c r="O8" i="8" s="1"/>
  <c r="I9" i="8" s="1"/>
  <c r="J9" i="8" s="1"/>
  <c r="K9" i="8" s="1"/>
  <c r="L9" i="8" s="1"/>
  <c r="M9" i="8" s="1"/>
  <c r="N9" i="8" s="1"/>
  <c r="O9" i="8" s="1"/>
  <c r="I10" i="8" s="1"/>
  <c r="J10" i="8" s="1"/>
  <c r="K10" i="8" s="1"/>
  <c r="L10" i="8" s="1"/>
  <c r="M10" i="8" s="1"/>
  <c r="N10" i="8" s="1"/>
  <c r="O10" i="8" s="1"/>
  <c r="I11" i="8" s="1"/>
  <c r="J11" i="8" s="1"/>
  <c r="K11" i="8" s="1"/>
  <c r="L11" i="8" s="1"/>
  <c r="M11" i="8" s="1"/>
  <c r="N11" i="8" s="1"/>
  <c r="O11" i="8" s="1"/>
  <c r="I12" i="8" s="1"/>
  <c r="J12" i="8" s="1"/>
  <c r="K12" i="8" s="1"/>
  <c r="L12" i="8" s="1"/>
  <c r="M12" i="8" s="1"/>
  <c r="N12" i="8" s="1"/>
  <c r="O12" i="8" s="1"/>
  <c r="I13" i="8" s="1"/>
  <c r="J13" i="8" s="1"/>
  <c r="K13" i="8" s="1"/>
  <c r="L13" i="8" s="1"/>
  <c r="M13" i="8" s="1"/>
  <c r="N13" i="8" s="1"/>
  <c r="O13" i="8" s="1"/>
  <c r="I33" i="8"/>
  <c r="I35" i="8" s="1"/>
  <c r="J35" i="8" s="1"/>
  <c r="K35" i="8" s="1"/>
  <c r="L35" i="8" s="1"/>
  <c r="M35" i="8" s="1"/>
  <c r="N35" i="8" s="1"/>
  <c r="O35" i="8" s="1"/>
  <c r="I36" i="8" s="1"/>
  <c r="J36" i="8" s="1"/>
  <c r="K36" i="8" s="1"/>
  <c r="L36" i="8" s="1"/>
  <c r="M36" i="8" s="1"/>
  <c r="N36" i="8" s="1"/>
  <c r="O36" i="8" s="1"/>
  <c r="I37" i="8" s="1"/>
  <c r="J37" i="8" s="1"/>
  <c r="K37" i="8" s="1"/>
  <c r="L37" i="8" s="1"/>
  <c r="M37" i="8" s="1"/>
  <c r="N37" i="8" s="1"/>
  <c r="O37" i="8" s="1"/>
  <c r="I38" i="8" s="1"/>
  <c r="J38" i="8" s="1"/>
  <c r="K38" i="8" s="1"/>
  <c r="L38" i="8" s="1"/>
  <c r="M38" i="8" s="1"/>
  <c r="N38" i="8" s="1"/>
  <c r="O38" i="8" s="1"/>
  <c r="I39" i="8" s="1"/>
  <c r="J39" i="8" s="1"/>
  <c r="K39" i="8" s="1"/>
  <c r="L39" i="8" s="1"/>
  <c r="M39" i="8" s="1"/>
  <c r="N39" i="8" s="1"/>
  <c r="O39" i="8" s="1"/>
  <c r="I40" i="8" s="1"/>
  <c r="J40" i="8" s="1"/>
  <c r="K40" i="8" s="1"/>
  <c r="L40" i="8" s="1"/>
  <c r="M40" i="8" s="1"/>
  <c r="N40" i="8" s="1"/>
  <c r="O40" i="8" s="1"/>
  <c r="B11" i="9"/>
  <c r="B19" i="9"/>
  <c r="B32" i="9"/>
  <c r="B22" i="9"/>
  <c r="A6" i="8"/>
  <c r="A8" i="8" s="1"/>
  <c r="B8" i="8" s="1"/>
  <c r="C8" i="8" s="1"/>
  <c r="D8" i="8" s="1"/>
  <c r="E8" i="8" s="1"/>
  <c r="F8" i="8" s="1"/>
  <c r="G8" i="8" s="1"/>
  <c r="A9" i="8" s="1"/>
  <c r="B9" i="8" s="1"/>
  <c r="C9" i="8" s="1"/>
  <c r="D9" i="8" s="1"/>
  <c r="E9" i="8" s="1"/>
  <c r="F9" i="8" s="1"/>
  <c r="G9" i="8" s="1"/>
  <c r="A10" i="8" s="1"/>
  <c r="B10" i="8" s="1"/>
  <c r="C10" i="8" s="1"/>
  <c r="D10" i="8" s="1"/>
  <c r="E10" i="8" s="1"/>
  <c r="F10" i="8" s="1"/>
  <c r="G10" i="8" s="1"/>
  <c r="A11" i="8" s="1"/>
  <c r="B11" i="8" s="1"/>
  <c r="C11" i="8" s="1"/>
  <c r="D11" i="8" s="1"/>
  <c r="E11" i="8" s="1"/>
  <c r="F11" i="8" s="1"/>
  <c r="G11" i="8" s="1"/>
  <c r="A12" i="8" s="1"/>
  <c r="B12" i="8" s="1"/>
  <c r="C12" i="8" s="1"/>
  <c r="D12" i="8" s="1"/>
  <c r="E12" i="8" s="1"/>
  <c r="F12" i="8" s="1"/>
  <c r="G12" i="8" s="1"/>
  <c r="A13" i="8" s="1"/>
  <c r="B13" i="8" s="1"/>
  <c r="C13" i="8" s="1"/>
  <c r="D13" i="8" s="1"/>
  <c r="E13" i="8" s="1"/>
  <c r="F13" i="8" s="1"/>
  <c r="G13" i="8" s="1"/>
  <c r="B29" i="9"/>
  <c r="B5" i="9"/>
  <c r="B9" i="9"/>
  <c r="N25" i="8" l="1"/>
  <c r="V25" i="8" s="1"/>
  <c r="K18" i="15"/>
  <c r="B19" i="15"/>
  <c r="M19" i="15" s="1"/>
  <c r="M18" i="15"/>
  <c r="F18" i="15"/>
  <c r="B17" i="9"/>
  <c r="G34" i="8"/>
  <c r="O34" i="8" s="1"/>
  <c r="W34" i="8" s="1"/>
  <c r="O25" i="8"/>
  <c r="W25" i="8" s="1"/>
  <c r="C20" i="15"/>
  <c r="D19" i="15"/>
  <c r="E19" i="15" s="1"/>
  <c r="F19" i="15" l="1"/>
  <c r="B20" i="15"/>
  <c r="M20" i="15" s="1"/>
  <c r="O20" i="15" s="1"/>
  <c r="K19" i="15"/>
  <c r="O19" i="15"/>
  <c r="X19" i="15" s="1"/>
  <c r="O18" i="15"/>
  <c r="X18" i="15" s="1"/>
  <c r="B21" i="15"/>
  <c r="M21" i="15" s="1"/>
  <c r="D20" i="15"/>
  <c r="E20" i="15" s="1"/>
  <c r="C21" i="15"/>
  <c r="F20" i="15" l="1"/>
  <c r="K20" i="15"/>
  <c r="K21" i="15"/>
  <c r="X20" i="15"/>
  <c r="B22" i="15"/>
  <c r="M22" i="15" s="1"/>
  <c r="O21" i="15"/>
  <c r="F21" i="15"/>
  <c r="C22" i="15"/>
  <c r="D21" i="15"/>
  <c r="E21" i="15" s="1"/>
  <c r="K22" i="15" l="1"/>
  <c r="B23" i="15"/>
  <c r="O22" i="15"/>
  <c r="F22" i="15"/>
  <c r="D22" i="15"/>
  <c r="E22" i="15" s="1"/>
  <c r="C23" i="15"/>
  <c r="B24" i="15" l="1"/>
  <c r="M24" i="15" s="1"/>
  <c r="M23" i="15"/>
  <c r="O23" i="15" s="1"/>
  <c r="X23" i="15" s="1"/>
  <c r="K23" i="15"/>
  <c r="F23" i="15"/>
  <c r="B25" i="15"/>
  <c r="X22" i="15"/>
  <c r="X21" i="15"/>
  <c r="D23" i="15"/>
  <c r="E23" i="15" s="1"/>
  <c r="C24" i="15"/>
  <c r="F24" i="15" l="1"/>
  <c r="K24" i="15"/>
  <c r="K25" i="15" s="1"/>
  <c r="M25" i="15"/>
  <c r="O25" i="15" s="1"/>
  <c r="O24" i="15"/>
  <c r="X24" i="15" s="1"/>
  <c r="B26" i="15"/>
  <c r="M26" i="15" s="1"/>
  <c r="F25" i="15"/>
  <c r="C25" i="15"/>
  <c r="D24" i="15"/>
  <c r="E24" i="15" s="1"/>
  <c r="K26" i="15" l="1"/>
  <c r="B27" i="15"/>
  <c r="M27" i="15" s="1"/>
  <c r="F26" i="15"/>
  <c r="C26" i="15"/>
  <c r="D25" i="15"/>
  <c r="E25" i="15" s="1"/>
  <c r="K27" i="15" l="1"/>
  <c r="O26" i="15"/>
  <c r="X26" i="15" s="1"/>
  <c r="X25" i="15"/>
  <c r="B28" i="15"/>
  <c r="M28" i="15" s="1"/>
  <c r="F27" i="15"/>
  <c r="D26" i="15"/>
  <c r="E26" i="15" s="1"/>
  <c r="C27" i="15"/>
  <c r="K28" i="15" l="1"/>
  <c r="O27" i="15"/>
  <c r="X27" i="15" s="1"/>
  <c r="B29" i="15"/>
  <c r="M29" i="15" s="1"/>
  <c r="O28" i="15"/>
  <c r="F28" i="15"/>
  <c r="D27" i="15"/>
  <c r="E27" i="15" s="1"/>
  <c r="C28" i="15"/>
  <c r="K29" i="15" l="1"/>
  <c r="B30" i="15"/>
  <c r="M30" i="15" s="1"/>
  <c r="O29" i="15"/>
  <c r="X29" i="15" s="1"/>
  <c r="F29" i="15"/>
  <c r="X28" i="15"/>
  <c r="D28" i="15"/>
  <c r="E28" i="15" s="1"/>
  <c r="C29" i="15"/>
  <c r="K30" i="15" l="1"/>
  <c r="B31" i="15"/>
  <c r="M31" i="15" s="1"/>
  <c r="O30" i="15"/>
  <c r="X30" i="15" s="1"/>
  <c r="F30" i="15"/>
  <c r="D29" i="15"/>
  <c r="E29" i="15" s="1"/>
  <c r="C30" i="15"/>
  <c r="K31" i="15" l="1"/>
  <c r="B32" i="15"/>
  <c r="M32" i="15" s="1"/>
  <c r="F31" i="15"/>
  <c r="O31" i="15"/>
  <c r="X31" i="15" s="1"/>
  <c r="C31" i="15"/>
  <c r="D30" i="15"/>
  <c r="E30" i="15" s="1"/>
  <c r="K32" i="15" l="1"/>
  <c r="B33" i="15"/>
  <c r="M33" i="15" s="1"/>
  <c r="F32" i="15"/>
  <c r="O32" i="15"/>
  <c r="X32" i="15" s="1"/>
  <c r="D31" i="15"/>
  <c r="E31" i="15" s="1"/>
  <c r="C32" i="15"/>
  <c r="K33" i="15" l="1"/>
  <c r="B34" i="15"/>
  <c r="M34" i="15" s="1"/>
  <c r="O33" i="15"/>
  <c r="X33" i="15" s="1"/>
  <c r="F33" i="15"/>
  <c r="D32" i="15"/>
  <c r="E32" i="15" s="1"/>
  <c r="C33" i="15"/>
  <c r="K34" i="15" l="1"/>
  <c r="B35" i="15"/>
  <c r="M35" i="15" s="1"/>
  <c r="O34" i="15"/>
  <c r="F34" i="15"/>
  <c r="D33" i="15"/>
  <c r="E33" i="15" s="1"/>
  <c r="C34" i="15"/>
  <c r="C35" i="15" s="1"/>
  <c r="C36" i="15" s="1"/>
  <c r="C37" i="15" s="1"/>
  <c r="B36" i="15" l="1"/>
  <c r="M36" i="15" s="1"/>
  <c r="O36" i="15" s="1"/>
  <c r="X36" i="15" s="1"/>
  <c r="O35" i="15"/>
  <c r="X35" i="15" s="1"/>
  <c r="F35" i="15"/>
  <c r="K35" i="15"/>
  <c r="B37" i="15"/>
  <c r="M37" i="15" s="1"/>
  <c r="F36" i="15"/>
  <c r="D37" i="15"/>
  <c r="E37" i="15" s="1"/>
  <c r="C38" i="15"/>
  <c r="X34" i="15"/>
  <c r="D34" i="15"/>
  <c r="E34" i="15" s="1"/>
  <c r="K36" i="15" l="1"/>
  <c r="K37" i="15"/>
  <c r="B38" i="15"/>
  <c r="M38" i="15" s="1"/>
  <c r="O37" i="15"/>
  <c r="X37" i="15" s="1"/>
  <c r="F37" i="15"/>
  <c r="C39" i="15"/>
  <c r="D38" i="15"/>
  <c r="E38" i="15" s="1"/>
  <c r="D35" i="15"/>
  <c r="E35" i="15" s="1"/>
  <c r="K38" i="15" l="1"/>
  <c r="B39" i="15"/>
  <c r="M39" i="15" s="1"/>
  <c r="F38" i="15"/>
  <c r="O38" i="15"/>
  <c r="X38" i="15" s="1"/>
  <c r="C40" i="15"/>
  <c r="D39" i="15"/>
  <c r="E39" i="15" s="1"/>
  <c r="D36" i="15"/>
  <c r="E36" i="15" s="1"/>
  <c r="K39" i="15" l="1"/>
  <c r="B40" i="15"/>
  <c r="M40" i="15" s="1"/>
  <c r="O40" i="15" s="1"/>
  <c r="F39" i="15"/>
  <c r="O39" i="15"/>
  <c r="X39" i="15" s="1"/>
  <c r="C41" i="15"/>
  <c r="D40" i="15"/>
  <c r="E40" i="15" s="1"/>
  <c r="K40" i="15" l="1"/>
  <c r="X40" i="15"/>
  <c r="B41" i="15"/>
  <c r="F40" i="15"/>
  <c r="C42" i="15"/>
  <c r="D41" i="15"/>
  <c r="E41" i="15" s="1"/>
  <c r="K41" i="15" l="1"/>
  <c r="M41" i="15"/>
  <c r="O41" i="15" s="1"/>
  <c r="X41" i="15" s="1"/>
  <c r="B42" i="15"/>
  <c r="F41" i="15"/>
  <c r="C43" i="15"/>
  <c r="D42" i="15"/>
  <c r="E42" i="15" s="1"/>
  <c r="K42" i="15" l="1"/>
  <c r="M42" i="15"/>
  <c r="O42" i="15" s="1"/>
  <c r="X42" i="15" s="1"/>
  <c r="B43" i="15"/>
  <c r="F42" i="15"/>
  <c r="C44" i="15"/>
  <c r="D43" i="15"/>
  <c r="E43" i="15" s="1"/>
  <c r="K43" i="15" l="1"/>
  <c r="M43" i="15"/>
  <c r="O43" i="15" s="1"/>
  <c r="X43" i="15" s="1"/>
  <c r="B44" i="15"/>
  <c r="F43" i="15"/>
  <c r="C45" i="15"/>
  <c r="D44" i="15"/>
  <c r="E44" i="15" s="1"/>
  <c r="K44" i="15" l="1"/>
  <c r="M44" i="15"/>
  <c r="O44" i="15" s="1"/>
  <c r="X44" i="15" s="1"/>
  <c r="B45" i="15"/>
  <c r="F44" i="15"/>
  <c r="C46" i="15"/>
  <c r="D45" i="15"/>
  <c r="E45" i="15" s="1"/>
  <c r="K45" i="15" l="1"/>
  <c r="M45" i="15"/>
  <c r="O45" i="15" s="1"/>
  <c r="X45" i="15" s="1"/>
  <c r="B46" i="15"/>
  <c r="F45" i="15"/>
  <c r="C47" i="15"/>
  <c r="D46" i="15"/>
  <c r="E46" i="15" s="1"/>
  <c r="K46" i="15" l="1"/>
  <c r="M46" i="15"/>
  <c r="O46" i="15" s="1"/>
  <c r="X46" i="15" s="1"/>
  <c r="B47" i="15"/>
  <c r="F46" i="15"/>
  <c r="C48" i="15"/>
  <c r="D47" i="15"/>
  <c r="E47" i="15" s="1"/>
  <c r="M47" i="15" l="1"/>
  <c r="K47" i="15"/>
  <c r="B48" i="15"/>
  <c r="F47" i="15"/>
  <c r="O47" i="15"/>
  <c r="X47" i="15" s="1"/>
  <c r="C49" i="15"/>
  <c r="D48" i="15"/>
  <c r="E48" i="15" s="1"/>
  <c r="M48" i="15" l="1"/>
  <c r="K48" i="15"/>
  <c r="B49" i="15"/>
  <c r="F48" i="15"/>
  <c r="O48" i="15"/>
  <c r="X48" i="15" s="1"/>
  <c r="C50" i="15"/>
  <c r="D49" i="15"/>
  <c r="E49" i="15" s="1"/>
  <c r="M49" i="15" l="1"/>
  <c r="K49" i="15"/>
  <c r="B50" i="15"/>
  <c r="F49" i="15"/>
  <c r="O49" i="15"/>
  <c r="X49" i="15" s="1"/>
  <c r="C51" i="15"/>
  <c r="D50" i="15"/>
  <c r="E50" i="15" s="1"/>
  <c r="M50" i="15" l="1"/>
  <c r="K50" i="15"/>
  <c r="B51" i="15"/>
  <c r="F50" i="15"/>
  <c r="O50" i="15"/>
  <c r="X50" i="15" s="1"/>
  <c r="C52" i="15"/>
  <c r="D51" i="15"/>
  <c r="E51" i="15" s="1"/>
  <c r="M51" i="15" l="1"/>
  <c r="K51" i="15"/>
  <c r="B52" i="15"/>
  <c r="F51" i="15"/>
  <c r="O51" i="15"/>
  <c r="X51" i="15" s="1"/>
  <c r="C53" i="15"/>
  <c r="D52" i="15"/>
  <c r="E52" i="15" s="1"/>
  <c r="K52" i="15" l="1"/>
  <c r="M52" i="15"/>
  <c r="B53" i="15"/>
  <c r="F52" i="15"/>
  <c r="O52" i="15"/>
  <c r="X52" i="15" s="1"/>
  <c r="C54" i="15"/>
  <c r="D53" i="15"/>
  <c r="E53" i="15" s="1"/>
  <c r="K53" i="15" l="1"/>
  <c r="M53" i="15"/>
  <c r="B54" i="15"/>
  <c r="F53" i="15"/>
  <c r="O53" i="15"/>
  <c r="X53" i="15" s="1"/>
  <c r="C55" i="15"/>
  <c r="D54" i="15"/>
  <c r="E54" i="15" s="1"/>
  <c r="K54" i="15" l="1"/>
  <c r="M54" i="15"/>
  <c r="B55" i="15"/>
  <c r="F54" i="15"/>
  <c r="O54" i="15"/>
  <c r="X54" i="15" s="1"/>
  <c r="C56" i="15"/>
  <c r="D55" i="15"/>
  <c r="E55" i="15" s="1"/>
  <c r="F55" i="15" l="1"/>
  <c r="K55" i="15"/>
  <c r="M55" i="15"/>
  <c r="B56" i="15"/>
  <c r="O55" i="15"/>
  <c r="X55" i="15"/>
  <c r="C57" i="15"/>
  <c r="D56" i="15"/>
  <c r="E56" i="15" s="1"/>
  <c r="K56" i="15" l="1"/>
  <c r="M56" i="15"/>
  <c r="F56" i="15"/>
  <c r="B57" i="15"/>
  <c r="O56" i="15"/>
  <c r="X56" i="15"/>
  <c r="C58" i="15"/>
  <c r="D57" i="15"/>
  <c r="E57" i="15" s="1"/>
  <c r="K57" i="15" l="1"/>
  <c r="M57" i="15"/>
  <c r="F57" i="15"/>
  <c r="B58" i="15"/>
  <c r="O57" i="15"/>
  <c r="X57" i="15" s="1"/>
  <c r="C59" i="15"/>
  <c r="D58" i="15"/>
  <c r="E58" i="15" s="1"/>
  <c r="K58" i="15" l="1"/>
  <c r="M58" i="15"/>
  <c r="B59" i="15"/>
  <c r="F58" i="15"/>
  <c r="O58" i="15"/>
  <c r="X58" i="15" s="1"/>
  <c r="C60" i="15"/>
  <c r="D59" i="15"/>
  <c r="E59" i="15" s="1"/>
  <c r="K59" i="15" l="1"/>
  <c r="M59" i="15"/>
  <c r="B60" i="15"/>
  <c r="O59" i="15"/>
  <c r="X59" i="15" s="1"/>
  <c r="F59" i="15"/>
  <c r="C61" i="15"/>
  <c r="D60" i="15"/>
  <c r="E60" i="15" s="1"/>
  <c r="M60" i="15" l="1"/>
  <c r="K60" i="15"/>
  <c r="B61" i="15"/>
  <c r="O60" i="15"/>
  <c r="X60" i="15" s="1"/>
  <c r="F60" i="15"/>
  <c r="C62" i="15"/>
  <c r="D61" i="15"/>
  <c r="E61" i="15" s="1"/>
  <c r="M61" i="15" l="1"/>
  <c r="K61" i="15"/>
  <c r="B62" i="15"/>
  <c r="O61" i="15"/>
  <c r="X61" i="15" s="1"/>
  <c r="F61" i="15"/>
  <c r="C63" i="15"/>
  <c r="D62" i="15"/>
  <c r="E62" i="15" s="1"/>
  <c r="M62" i="15" l="1"/>
  <c r="K62" i="15"/>
  <c r="B63" i="15"/>
  <c r="F62" i="15"/>
  <c r="O62" i="15"/>
  <c r="X62" i="15" s="1"/>
  <c r="C64" i="15"/>
  <c r="D63" i="15"/>
  <c r="E63" i="15" s="1"/>
  <c r="M63" i="15" l="1"/>
  <c r="K63" i="15"/>
  <c r="B64" i="15"/>
  <c r="F63" i="15"/>
  <c r="O63" i="15"/>
  <c r="X63" i="15" s="1"/>
  <c r="C65" i="15"/>
  <c r="D64" i="15"/>
  <c r="E64" i="15" s="1"/>
  <c r="K64" i="15" l="1"/>
  <c r="M64" i="15"/>
  <c r="B65" i="15"/>
  <c r="F64" i="15"/>
  <c r="O64" i="15"/>
  <c r="X64" i="15" s="1"/>
  <c r="D65" i="15"/>
  <c r="E65" i="15" s="1"/>
  <c r="C66" i="15"/>
  <c r="K65" i="15" l="1"/>
  <c r="M65" i="15"/>
  <c r="B66" i="15"/>
  <c r="I11" i="15" s="1"/>
  <c r="F65" i="15"/>
  <c r="D66" i="15"/>
  <c r="E66" i="15" s="1"/>
  <c r="C67" i="15"/>
  <c r="M66" i="15" l="1"/>
  <c r="K66" i="15"/>
  <c r="F66" i="15"/>
  <c r="O66" i="15"/>
  <c r="X66" i="15" s="1"/>
  <c r="O65" i="15"/>
  <c r="D67" i="15"/>
  <c r="E67" i="15" s="1"/>
  <c r="E9" i="15"/>
  <c r="B11" i="15" s="1"/>
  <c r="E11" i="15" s="1"/>
  <c r="M67" i="15" l="1"/>
  <c r="Q9" i="15" s="1"/>
  <c r="X65" i="15"/>
  <c r="X67" i="15" s="1"/>
  <c r="O67" i="15"/>
  <c r="O9" i="15" s="1"/>
  <c r="O5" i="15" s="1"/>
  <c r="Q5" i="15" l="1"/>
  <c r="R5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 do Windows</author>
    <author>Alcioni Fritz</author>
    <author>Alcioni</author>
  </authors>
  <commentList>
    <comment ref="B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Digite aqui o NOME da sua viagem.
EX: </t>
        </r>
        <r>
          <rPr>
            <sz val="9"/>
            <color indexed="81"/>
            <rFont val="Segoe UI"/>
            <family val="2"/>
          </rPr>
          <t>Deserto do Atacama</t>
        </r>
      </text>
    </comment>
    <comment ref="B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Digite seu nome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Preenchimento obrigatório.
</t>
        </r>
        <r>
          <rPr>
            <sz val="9"/>
            <color indexed="81"/>
            <rFont val="Tahoma"/>
            <family val="2"/>
          </rPr>
          <t xml:space="preserve">Digite a cidade origem de onde voce estará saindo.
</t>
        </r>
      </text>
    </comment>
    <comment ref="H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Moto:</t>
        </r>
        <r>
          <rPr>
            <sz val="9"/>
            <color indexed="81"/>
            <rFont val="Tahoma"/>
            <family val="2"/>
          </rPr>
          <t xml:space="preserve">
Digite aqui o modelo da sua moto</t>
        </r>
      </text>
    </comment>
    <comment ref="I5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Preenchimento obrigatório para calculo correto das despesas.
</t>
        </r>
        <r>
          <rPr>
            <sz val="9"/>
            <color indexed="81"/>
            <rFont val="Tahoma"/>
            <family val="2"/>
          </rPr>
          <t xml:space="preserve">Digite aqui o consumo médio da sua moto para a planilha calcular os custos com combustivel e a quantidade de combustivel necessário.
</t>
        </r>
      </text>
    </comment>
    <comment ref="M5" authorId="1" shapeId="0" xr:uid="{00000000-0006-0000-0000-000006000000}">
      <text>
        <r>
          <rPr>
            <sz val="9"/>
            <color indexed="81"/>
            <rFont val="Tahoma"/>
            <family val="2"/>
          </rPr>
          <t>Informe o quanto você possui de recursos financeiros para gastar em toda a viagem.</t>
        </r>
      </text>
    </comment>
    <comment ref="B7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Obrigatorio para desbloqueio do percurso.</t>
        </r>
        <r>
          <rPr>
            <sz val="9"/>
            <color indexed="81"/>
            <rFont val="Tahoma"/>
            <family val="2"/>
          </rPr>
          <t xml:space="preserve">
Digite a data de inicio da viagem. 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E7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 xml:space="preserve">Preenchimento obrigatório - Dias Disponíveis
</t>
        </r>
        <r>
          <rPr>
            <sz val="9"/>
            <color indexed="81"/>
            <rFont val="Segoe UI"/>
            <family val="2"/>
          </rPr>
          <t>Insira o numero total de dias disponiveis que você possui para fazer a viagem.
Isso permitira que a planilha lhe informe se a programação esta dentro do prazo.</t>
        </r>
      </text>
    </comment>
    <comment ref="H7" authorId="1" shapeId="0" xr:uid="{00000000-0006-0000-0000-000009000000}">
      <text>
        <r>
          <rPr>
            <sz val="9"/>
            <color indexed="81"/>
            <rFont val="Tahoma"/>
            <family val="2"/>
          </rPr>
          <t xml:space="preserve">Preencha a previsão de durabilidade dos pneus </t>
        </r>
        <r>
          <rPr>
            <b/>
            <sz val="9"/>
            <color indexed="81"/>
            <rFont val="Tahoma"/>
            <family val="2"/>
          </rPr>
          <t>DIANTEIROS</t>
        </r>
        <r>
          <rPr>
            <sz val="9"/>
            <color indexed="81"/>
            <rFont val="Tahoma"/>
            <family val="2"/>
          </rPr>
          <t xml:space="preserve"> em km.</t>
        </r>
      </text>
    </comment>
    <comment ref="I7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Preencha a previsão de durabilidade dos pneus </t>
        </r>
        <r>
          <rPr>
            <b/>
            <sz val="9"/>
            <color indexed="81"/>
            <rFont val="Tahoma"/>
            <family val="2"/>
          </rPr>
          <t>TRASEIROS</t>
        </r>
        <r>
          <rPr>
            <sz val="9"/>
            <color indexed="81"/>
            <rFont val="Tahoma"/>
            <family val="2"/>
          </rPr>
          <t xml:space="preserve"> em km.</t>
        </r>
      </text>
    </comment>
    <comment ref="M7" authorId="0" shapeId="0" xr:uid="{00000000-0006-0000-0000-00000B000000}">
      <text>
        <r>
          <rPr>
            <sz val="9"/>
            <color indexed="81"/>
            <rFont val="Segoe UI"/>
            <family val="2"/>
          </rPr>
          <t>Informe o total dos custos previstos para passagens aéreas.</t>
        </r>
      </text>
    </comment>
    <comment ref="M9" authorId="0" shapeId="0" xr:uid="{00000000-0006-0000-0000-00000C000000}">
      <text>
        <r>
          <rPr>
            <sz val="9"/>
            <color indexed="81"/>
            <rFont val="Segoe UI"/>
            <family val="2"/>
          </rPr>
          <t>Informe o total de despesas previstas com seguros  pessoais e do veiculo.</t>
        </r>
      </text>
    </comment>
    <comment ref="M11" authorId="0" shapeId="0" xr:uid="{00000000-0006-0000-0000-00000D000000}">
      <text>
        <r>
          <rPr>
            <sz val="9"/>
            <color indexed="81"/>
            <rFont val="Segoe UI"/>
            <family val="2"/>
          </rPr>
          <t>Despesas previstas com locação de veiculos (Motos ou Carros), imoveis, equipamentos, etc.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3" authorId="2" shapeId="0" xr:uid="{00000000-0006-0000-0000-00000E000000}">
      <text>
        <r>
          <rPr>
            <b/>
            <sz val="9"/>
            <color indexed="81"/>
            <rFont val="Segoe UI"/>
            <family val="2"/>
          </rPr>
          <t xml:space="preserve">URL GOOGLE MAPS
Campo Opcional
</t>
        </r>
        <r>
          <rPr>
            <sz val="9"/>
            <color indexed="81"/>
            <rFont val="Segoe UI"/>
            <family val="2"/>
          </rPr>
          <t>Cole aqui o link do Maps com o roteiro completo da viagem, ou caso prefira, utilize os campos específicos de cada trecho para mostrar apenas a rota daquela data.</t>
        </r>
      </text>
    </comment>
    <comment ref="M13" authorId="0" shapeId="0" xr:uid="{00000000-0006-0000-0000-00000F000000}">
      <text>
        <r>
          <rPr>
            <sz val="9"/>
            <color indexed="81"/>
            <rFont val="Segoe UI"/>
            <family val="2"/>
          </rPr>
          <t>Informe aqui todas as previsões de despesas que podem ocorrer e que não estejam mencionadas nos demais campos da planilha.</t>
        </r>
      </text>
    </comment>
    <comment ref="H17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DESTINO
Obrigatório
</t>
        </r>
        <r>
          <rPr>
            <sz val="9"/>
            <color indexed="81"/>
            <rFont val="Tahoma"/>
            <family val="2"/>
          </rPr>
          <t>Digite o próximo destino. A planilha já ira lançar esse nome na próxima origem.</t>
        </r>
      </text>
    </comment>
    <comment ref="I17" authorId="0" shapeId="0" xr:uid="{00000000-0006-0000-0000-000011000000}">
      <text>
        <r>
          <rPr>
            <b/>
            <sz val="9"/>
            <color indexed="81"/>
            <rFont val="Segoe UI"/>
            <family val="2"/>
          </rPr>
          <t xml:space="preserve">PAÍS/ESTADO
</t>
        </r>
        <r>
          <rPr>
            <sz val="9"/>
            <color indexed="81"/>
            <rFont val="Segoe UI"/>
            <family val="2"/>
          </rPr>
          <t>Digite o país ou estado onde fica a cidade destino.</t>
        </r>
      </text>
    </comment>
    <comment ref="J17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TRECHO 
Obrigatório 
</t>
        </r>
        <r>
          <rPr>
            <sz val="9"/>
            <color indexed="81"/>
            <rFont val="Tahoma"/>
            <family val="2"/>
          </rPr>
          <t>Digite a quilometragem a ser percorrida nesse trecho ou nesse dia.</t>
        </r>
      </text>
    </comment>
    <comment ref="L17" authorId="2" shapeId="0" xr:uid="{00000000-0006-0000-0000-000013000000}">
      <text>
        <r>
          <rPr>
            <b/>
            <sz val="9"/>
            <color indexed="81"/>
            <rFont val="Segoe UI"/>
            <family val="2"/>
          </rPr>
          <t xml:space="preserve">OBSERVAÇÕES DO TRAJETO
</t>
        </r>
        <r>
          <rPr>
            <sz val="9"/>
            <color indexed="81"/>
            <rFont val="Segoe UI"/>
            <family val="2"/>
          </rPr>
          <t>Campo opcional para informar observações importantes do trajeto do dia, como rodovias que serão utilizadas, algum local importante de parada, etc.</t>
        </r>
      </text>
    </comment>
    <comment ref="N17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>VALOR COMBUSTIVEL:</t>
        </r>
        <r>
          <rPr>
            <sz val="9"/>
            <color indexed="81"/>
            <rFont val="Tahoma"/>
            <family val="2"/>
          </rPr>
          <t xml:space="preserve">
Digite nessa campo o valor médio por litro de combustivel  no trecho.
</t>
        </r>
      </text>
    </comment>
    <comment ref="P17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DESPESAS DE PEDÁGIO</t>
        </r>
        <r>
          <rPr>
            <sz val="9"/>
            <color indexed="81"/>
            <rFont val="Segoe UI"/>
            <family val="2"/>
          </rPr>
          <t xml:space="preserve">
Insira nesse campo uma previsão das despesas totais de Pedagio nesse trecho ou data.</t>
        </r>
      </text>
    </comment>
    <comment ref="Q17" authorId="1" shapeId="0" xr:uid="{00000000-0006-0000-0000-000016000000}">
      <text>
        <r>
          <rPr>
            <b/>
            <sz val="9"/>
            <color indexed="81"/>
            <rFont val="Tahoma"/>
            <family val="2"/>
          </rPr>
          <t>Obrigatório o preenchimento desse campo para liberar o próximo trecho
Numero de Pernoites:</t>
        </r>
        <r>
          <rPr>
            <sz val="9"/>
            <color indexed="81"/>
            <rFont val="Tahoma"/>
            <family val="2"/>
          </rPr>
          <t xml:space="preserve">
Digite aqui o numero de diárias que ira ficar nessa localidade. Digite "0" (zero) caso não haja pernoite.</t>
        </r>
      </text>
    </comment>
    <comment ref="R17" authorId="1" shapeId="0" xr:uid="{00000000-0006-0000-0000-000017000000}">
      <text>
        <r>
          <rPr>
            <b/>
            <sz val="9"/>
            <color indexed="81"/>
            <rFont val="Tahoma"/>
            <family val="2"/>
          </rPr>
          <t>Nome do Hotel</t>
        </r>
        <r>
          <rPr>
            <sz val="9"/>
            <color indexed="81"/>
            <rFont val="Tahoma"/>
            <family val="2"/>
          </rPr>
          <t xml:space="preserve">
Utilize para descrever o nome do hotel que ira se hospedar.</t>
        </r>
      </text>
    </comment>
    <comment ref="T17" authorId="1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CUSTO DE HOTEL
</t>
        </r>
        <r>
          <rPr>
            <sz val="9"/>
            <color indexed="81"/>
            <rFont val="Tahoma"/>
            <family val="2"/>
          </rPr>
          <t xml:space="preserve">Digite aqui o </t>
        </r>
        <r>
          <rPr>
            <b/>
            <sz val="9"/>
            <color indexed="81"/>
            <rFont val="Tahoma"/>
            <family val="2"/>
          </rPr>
          <t>custo total de todas as diárias</t>
        </r>
        <r>
          <rPr>
            <sz val="9"/>
            <color indexed="81"/>
            <rFont val="Tahoma"/>
            <family val="2"/>
          </rPr>
          <t xml:space="preserve"> realizadas nesse hotel.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U17" authorId="1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DESPESAS ALIMENTAÇÃO
</t>
        </r>
        <r>
          <rPr>
            <sz val="9"/>
            <color indexed="81"/>
            <rFont val="Tahoma"/>
            <family val="2"/>
          </rPr>
          <t>Digite aqui a estimativa de custo total de todas as suas despesas de alimentação nessa data.</t>
        </r>
      </text>
    </comment>
    <comment ref="V17" authorId="0" shapeId="0" xr:uid="{00000000-0006-0000-0000-00001A000000}">
      <text>
        <r>
          <rPr>
            <b/>
            <sz val="9"/>
            <color indexed="81"/>
            <rFont val="Segoe UI"/>
            <family val="2"/>
          </rPr>
          <t xml:space="preserve">DESPESAS DE PASSEIOS
</t>
        </r>
        <r>
          <rPr>
            <sz val="9"/>
            <color indexed="81"/>
            <rFont val="Segoe UI"/>
            <family val="2"/>
          </rPr>
          <t xml:space="preserve">Digite aqui a estimativa de custo total com os passeios feitos nessa data.
</t>
        </r>
        <r>
          <rPr>
            <b/>
            <sz val="9"/>
            <color indexed="81"/>
            <rFont val="Segoe UI"/>
            <family val="2"/>
          </rPr>
          <t>ATENÇÃO:</t>
        </r>
        <r>
          <rPr>
            <sz val="9"/>
            <color indexed="81"/>
            <rFont val="Segoe UI"/>
            <family val="2"/>
          </rPr>
          <t xml:space="preserve"> Os valores de custos lançados na planilha "Passeios" </t>
        </r>
        <r>
          <rPr>
            <b/>
            <sz val="9"/>
            <color indexed="81"/>
            <rFont val="Segoe UI"/>
            <family val="2"/>
          </rPr>
          <t>NÃO</t>
        </r>
        <r>
          <rPr>
            <sz val="9"/>
            <color indexed="81"/>
            <rFont val="Segoe UI"/>
            <family val="2"/>
          </rPr>
          <t xml:space="preserve"> são automaticamente transferidos para essa célula.</t>
        </r>
      </text>
    </comment>
    <comment ref="W17" authorId="1" shapeId="0" xr:uid="{00000000-0006-0000-0000-00001B000000}">
      <text>
        <r>
          <rPr>
            <b/>
            <sz val="9"/>
            <color indexed="81"/>
            <rFont val="Tahoma"/>
            <family val="2"/>
          </rPr>
          <t>DESPESAS EXTRAS</t>
        </r>
        <r>
          <rPr>
            <sz val="9"/>
            <color indexed="81"/>
            <rFont val="Tahoma"/>
            <family val="2"/>
          </rPr>
          <t xml:space="preserve">
Digite aqui a estimativa de custo total de despesas extras, como, borracharia, despesas mecânicas, travessia em balsas, etc.</t>
        </r>
      </text>
    </comment>
    <comment ref="Y17" authorId="2" shapeId="0" xr:uid="{00000000-0006-0000-0000-00001C000000}">
      <text>
        <r>
          <rPr>
            <b/>
            <sz val="9"/>
            <color indexed="81"/>
            <rFont val="Segoe UI"/>
            <family val="2"/>
          </rPr>
          <t xml:space="preserve">URL GOOGLE MAPS
</t>
        </r>
        <r>
          <rPr>
            <sz val="9"/>
            <color indexed="81"/>
            <rFont val="Segoe UI"/>
            <family val="2"/>
          </rPr>
          <t>Cole aqui o link do Google Maps com o roteiro do dia.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McDonald's Brasil</author>
  </authors>
  <commentList>
    <comment ref="C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Ano do Calendário:</t>
        </r>
        <r>
          <rPr>
            <sz val="8"/>
            <color indexed="81"/>
            <rFont val="Tahoma"/>
            <family val="2"/>
          </rPr>
          <t xml:space="preserve">
Digite aqui o ano de interesse (4 dígitos) ou utilize o controle ao lado.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de Carvalho Navarro</author>
  </authors>
  <commentList>
    <comment ref="A6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Curiosidade:</t>
        </r>
        <r>
          <rPr>
            <sz val="8"/>
            <color indexed="81"/>
            <rFont val="Tahoma"/>
            <family val="2"/>
          </rPr>
          <t xml:space="preserve">
Todos os feriados eclesiásticos são calculados em função da Páscoa e esta é calculada em função da Lua Cheia.
A PÁSCOA ocorre no primeiro domingo após a primeira lua cheia que se verificar a partir de 21 de março (início da Primavera). A SEXTA-FEIRA DA PAIXÃO é a que antecede o DOMINGO DE PÁSCOA. A terça-feira de CARNAVAL ocorre 47 dias antes da Páscoa e a quinta-feira do CORPUS CHRISTI ocorre 60 dias após a Páscoa. DOMINGO DE RAMOS é o que antecede o domingo da Páscoa, a QUARESMA são os 40 dias entre o Carnaval e o DOMINGO DE RAMOS, a quinta-feira da ASCENSÃO ocorre 39 dias após a Páscoa e o domingo de PENTECOSTES vem 10 dias depois da Ascensão.</t>
        </r>
      </text>
    </comment>
  </commentList>
</comments>
</file>

<file path=xl/sharedStrings.xml><?xml version="1.0" encoding="utf-8"?>
<sst xmlns="http://schemas.openxmlformats.org/spreadsheetml/2006/main" count="265" uniqueCount="169">
  <si>
    <t>KM</t>
  </si>
  <si>
    <t>HOTEL</t>
  </si>
  <si>
    <t>COMBUSTIVEL</t>
  </si>
  <si>
    <t>PERCURSO</t>
  </si>
  <si>
    <t>Custo</t>
  </si>
  <si>
    <t>Acumulado</t>
  </si>
  <si>
    <t>Nome Hotel</t>
  </si>
  <si>
    <t>TOTAL CUSTOS</t>
  </si>
  <si>
    <t>NO DIA</t>
  </si>
  <si>
    <t>Trecho</t>
  </si>
  <si>
    <t>Data</t>
  </si>
  <si>
    <t>Origem</t>
  </si>
  <si>
    <t>Destino</t>
  </si>
  <si>
    <t>Litros</t>
  </si>
  <si>
    <t>Valor</t>
  </si>
  <si>
    <t>SEU NOME</t>
  </si>
  <si>
    <t>S</t>
  </si>
  <si>
    <t>T</t>
  </si>
  <si>
    <t>Q</t>
  </si>
  <si>
    <t>D</t>
  </si>
  <si>
    <t>CIDADE ORIGEM</t>
  </si>
  <si>
    <t>Feriados Nacionais</t>
  </si>
  <si>
    <t>Tipo</t>
  </si>
  <si>
    <t>Ocorrência</t>
  </si>
  <si>
    <t>Confraternização Universal</t>
  </si>
  <si>
    <t>Fixo</t>
  </si>
  <si>
    <t>Dia 1 de Janeiro</t>
  </si>
  <si>
    <t>Paixão de Cristo</t>
  </si>
  <si>
    <t>Móvel</t>
  </si>
  <si>
    <t>2 dias antes da Páscoa</t>
  </si>
  <si>
    <t>Páscoa</t>
  </si>
  <si>
    <t>Depende das fases da Lua</t>
  </si>
  <si>
    <t>Tiradentes</t>
  </si>
  <si>
    <t>Dia 21 de Abril</t>
  </si>
  <si>
    <t>Dia do Trabalho</t>
  </si>
  <si>
    <t>Dia 1 de Maio</t>
  </si>
  <si>
    <t>Corpus Christi</t>
  </si>
  <si>
    <t>60 dias após a Páscoa</t>
  </si>
  <si>
    <t>Independência do Brasil</t>
  </si>
  <si>
    <t>Dia 7 de Setembro</t>
  </si>
  <si>
    <t>Nossa Senhora da Aparecida</t>
  </si>
  <si>
    <t>Dia 12 de Outubro</t>
  </si>
  <si>
    <t>Finados</t>
  </si>
  <si>
    <t>Dia 2 de Novembro</t>
  </si>
  <si>
    <t>Proclamação da República</t>
  </si>
  <si>
    <t>Dia 15 de Novembro</t>
  </si>
  <si>
    <t>Natal</t>
  </si>
  <si>
    <t>Dia 25 de Dezembro</t>
  </si>
  <si>
    <t>Datas Comemorativas</t>
  </si>
  <si>
    <t>Carnaval (Ponto Facultativo)</t>
  </si>
  <si>
    <t>47 dias antes da Páscoa</t>
  </si>
  <si>
    <t>Domingo de Ramos</t>
  </si>
  <si>
    <t>Domingo anterior à Páscoa</t>
  </si>
  <si>
    <t>Sábado de Aleluia</t>
  </si>
  <si>
    <t>Sábado anterior à Páscoa</t>
  </si>
  <si>
    <t>Dia das Mães</t>
  </si>
  <si>
    <t>2º domingo de Maio</t>
  </si>
  <si>
    <t>Dia dos Namorados</t>
  </si>
  <si>
    <t>Dia 12 de Junho</t>
  </si>
  <si>
    <t>Dia das Crianças</t>
  </si>
  <si>
    <t>Dia dos Pais</t>
  </si>
  <si>
    <t>2º domingo de Agosto</t>
  </si>
  <si>
    <t>Dia da Secretária</t>
  </si>
  <si>
    <t>Dia 30 de Setembro</t>
  </si>
  <si>
    <t>Feriados nos EUA</t>
  </si>
  <si>
    <t>Martin Luther King Day</t>
  </si>
  <si>
    <t>3ª segunda-feira de Janeiro</t>
  </si>
  <si>
    <t>President's Day</t>
  </si>
  <si>
    <t>3ª segunda-feira de Fevereiro</t>
  </si>
  <si>
    <t>Memorial Day</t>
  </si>
  <si>
    <t>Última segunda-feira de Maio</t>
  </si>
  <si>
    <t>Independence Day</t>
  </si>
  <si>
    <t>4º dia de Julho</t>
  </si>
  <si>
    <t>Labor Day</t>
  </si>
  <si>
    <t>1ª segunda-feira de Setembro</t>
  </si>
  <si>
    <t>Columbus Day</t>
  </si>
  <si>
    <t>2ª segunda-feira de Outubro</t>
  </si>
  <si>
    <t>Veteran's Day</t>
  </si>
  <si>
    <t>11º dia de Novembro</t>
  </si>
  <si>
    <t>Thanksgiving</t>
  </si>
  <si>
    <t>4ª quinta-feira de Novembro</t>
  </si>
  <si>
    <t>Ano:</t>
  </si>
  <si>
    <t>Feriados Nacionais:</t>
  </si>
  <si>
    <t>Datas Comemorativas:</t>
  </si>
  <si>
    <t>Feriados nos EUA:</t>
  </si>
  <si>
    <t>Calendário</t>
  </si>
  <si>
    <t>Ultimo Dia</t>
  </si>
  <si>
    <t>EXTRAS</t>
  </si>
  <si>
    <t>Alimentação</t>
  </si>
  <si>
    <t>ALIMENTAÇÃO</t>
  </si>
  <si>
    <t>DATA SAÍDA</t>
  </si>
  <si>
    <t>AUTONOMIA RESTANTE DOS PNEUS</t>
  </si>
  <si>
    <t>DIFERENÇA</t>
  </si>
  <si>
    <t>DATA LIM RETORNO</t>
  </si>
  <si>
    <t>TOTAL KM RODADOS</t>
  </si>
  <si>
    <t>País/Estado</t>
  </si>
  <si>
    <t>DIAS DE VIAGEM</t>
  </si>
  <si>
    <t>Cidade</t>
  </si>
  <si>
    <t>Nome do Local/Passeio</t>
  </si>
  <si>
    <t>Observações</t>
  </si>
  <si>
    <t>Endereço</t>
  </si>
  <si>
    <t>PASSEIOS E LOCAIS PARA VISITAR</t>
  </si>
  <si>
    <t>Horário</t>
  </si>
  <si>
    <t>PRETENSÃO DE DESPESAS</t>
  </si>
  <si>
    <t>PEDAGIO</t>
  </si>
  <si>
    <t>PEDÁGIO</t>
  </si>
  <si>
    <t>PREVISÃO DE DESPESAS</t>
  </si>
  <si>
    <t>DATA FINAL VIAGEM</t>
  </si>
  <si>
    <t>NUMERO DE TRECHOS</t>
  </si>
  <si>
    <t>Extras</t>
  </si>
  <si>
    <t>DIAS DISPONÍVEIS</t>
  </si>
  <si>
    <t>Dia</t>
  </si>
  <si>
    <t xml:space="preserve">    CONSUMO KM/LITRO</t>
  </si>
  <si>
    <t>DIAS RESTANTES</t>
  </si>
  <si>
    <t>VEÍCULO</t>
  </si>
  <si>
    <t>DESPESAS AÉREAS</t>
  </si>
  <si>
    <t>DESPESAS COM SEGUROS</t>
  </si>
  <si>
    <t>DESPESAS COM LOCAÇÃO</t>
  </si>
  <si>
    <t>OUTRAS DESPESAS</t>
  </si>
  <si>
    <t>DESPESAS HOTEL</t>
  </si>
  <si>
    <t>DESPESAS COMBUSTIVEL</t>
  </si>
  <si>
    <t>LITROS COMBUSTIVEL</t>
  </si>
  <si>
    <t>AUTONOMIA PNEU - D</t>
  </si>
  <si>
    <t xml:space="preserve">AUTONOMIA PNEU - T </t>
  </si>
  <si>
    <t>ALIMENTAÇÃO/PASSEIOS/EXTRAS</t>
  </si>
  <si>
    <t>Passeios</t>
  </si>
  <si>
    <t>PASSEIOS</t>
  </si>
  <si>
    <t>URL GOOGLE MAPS</t>
  </si>
  <si>
    <t>DO PERCURSO DO DIA</t>
  </si>
  <si>
    <t>.</t>
  </si>
  <si>
    <t>URL Google Maps Roteiro Completo</t>
  </si>
  <si>
    <t>OBSERVAÇÕES</t>
  </si>
  <si>
    <t>Custo Total Dia</t>
  </si>
  <si>
    <t>MOTO</t>
  </si>
  <si>
    <t>Do trajeto a ser realizado no dia</t>
  </si>
  <si>
    <t>Quantidade</t>
  </si>
  <si>
    <t>PERNOITES</t>
  </si>
  <si>
    <t>youtube/trilheirosonline                        instagram @alcionifritz                            www.trilheirosonline.com                      spotify @alcioni.fritz</t>
  </si>
  <si>
    <t>PLANILHA PARA PLANEJAMENTO DE ROTEIROS E CUSTOS DE VIAGEM - TRILHEIROSONLINE</t>
  </si>
  <si>
    <t>Joinville</t>
  </si>
  <si>
    <t>https://maps.app.goo.gl/58fdaf7S7HKYafheA</t>
  </si>
  <si>
    <t>Quilombo</t>
  </si>
  <si>
    <t>Visitar o Salto Saudade</t>
  </si>
  <si>
    <t>São Miguel das Missões</t>
  </si>
  <si>
    <t>Visitar a Ruina Jesuita</t>
  </si>
  <si>
    <t>https://maps.app.goo.gl/nxNL5fifC9deoye39</t>
  </si>
  <si>
    <t>https://maps.app.goo.gl/Fq8bw7TGL8Cmmmev5</t>
  </si>
  <si>
    <t>San Ignacio</t>
  </si>
  <si>
    <t>ARG</t>
  </si>
  <si>
    <t>Travessia da fronteira por Balsa Rio Uruguai e visita ruina em San Ignacio.</t>
  </si>
  <si>
    <t>PY</t>
  </si>
  <si>
    <t>Encanacion</t>
  </si>
  <si>
    <t>Seguir viagem no mesmo dia para o Paraguai, fazendo a fronteira por Posadas.</t>
  </si>
  <si>
    <t>https://maps.app.goo.gl/kkUVnBDfSWw4AcfM7</t>
  </si>
  <si>
    <t>https://maps.app.goo.gl/k7Au1vhTtnxnYM3r6</t>
  </si>
  <si>
    <t>https://maps.app.goo.gl/3YM7DMrMf83TxkD58</t>
  </si>
  <si>
    <t>Assunção</t>
  </si>
  <si>
    <t>BRA SC</t>
  </si>
  <si>
    <t>BRA RS</t>
  </si>
  <si>
    <t>BRA PR</t>
  </si>
  <si>
    <t>ROTA DAS MISSÕES - BRASIL / ARGENTINA / PARAGUAI</t>
  </si>
  <si>
    <t>Guaira</t>
  </si>
  <si>
    <t>Trajeto feito pela Ruta 3, fazendo a travessia de fronteira com o Brasil via Salto del Guairá, entrando no estado do MS e logo em seguida PR. Além de muito mais tranquilo, vc conhece mais uma fronteira.</t>
  </si>
  <si>
    <t>https://maps.app.goo.gl/SxmAqUNcKLphTwc8A</t>
  </si>
  <si>
    <t>https://maps.app.goo.gl/EAm9wd5P7QAQn2V69</t>
  </si>
  <si>
    <t>Coloquei um roteiro direto até Joinville, porem passando por Inácio Martins no PR, para conhecer o trecho Cerro do Leão. Se tiver dias sobrando, podera acrescentar Prudentopolis para conhecar as cachoeiras e depois retornar em Ponta Grossa para conhecer o Parque do Buraco do Padre.</t>
  </si>
  <si>
    <t>Trajeto feito pela Ruta 1. Visita a capital Assunção. Coloquei pra chegar na parte mais bonita e moderna da cidade, com varios hoteis, shopping, restaurantes, mas os passeios históricos serão na parte antiga.</t>
  </si>
  <si>
    <t xml:space="preserve">Permanecer hospedado na cidade, fazendo o deslocamento até as Ruinas de Trinidad e Jesus de Tavarangue que são proximas, mas toma um dia todo. Adicionei mais um dia para ficar na cidade que é a mais moderna do Paraguai e bonita para passear. No verão é a temporada de praia do rio Parana, a cidade fica cheia. Fica atenta a hoteis. </t>
  </si>
  <si>
    <r>
      <rPr>
        <b/>
        <sz val="9"/>
        <color theme="1"/>
        <rFont val="Calibri"/>
        <family val="2"/>
        <scheme val="minor"/>
      </rPr>
      <t xml:space="preserve">                                          </t>
    </r>
    <r>
      <rPr>
        <b/>
        <sz val="12"/>
        <color rgb="FFFF0000"/>
        <rFont val="Calibri"/>
        <family val="2"/>
        <scheme val="minor"/>
      </rPr>
      <t>ATENÇÃO</t>
    </r>
    <r>
      <rPr>
        <sz val="12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
Para que a planilha funcione de forma acertiva, devem ser preenchidos todos as células liberdas na cor "branca".  Demais dados serão calculados ou preenchidos automaticamente.
 </t>
    </r>
    <r>
      <rPr>
        <b/>
        <sz val="9"/>
        <color rgb="FFFF0000"/>
        <rFont val="Calibri"/>
        <family val="2"/>
        <scheme val="minor"/>
      </rPr>
      <t>"Qtde Pernoites" é um campo obrigatorio de preenchimento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para que a planilha libere o proximo trecho a ser calculado.  </t>
    </r>
    <r>
      <rPr>
        <b/>
        <sz val="9"/>
        <color theme="1"/>
        <rFont val="Calibri"/>
        <family val="2"/>
        <scheme val="minor"/>
      </rPr>
      <t>Não deixe em branco!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Digite "0" caso não faça nenhuma pernoite nesse trecho.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</si>
</sst>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dd/mm/yy;@"/>
    <numFmt numFmtId="166" formatCode="_(* #,##0_);_(* \(#,##0\);_(* &quot;-&quot;??_);_(@_)"/>
    <numFmt numFmtId="167" formatCode="dddd\,\ dd/mm/yyyy"/>
    <numFmt numFmtId="168" formatCode="mmmm"/>
    <numFmt numFmtId="169" formatCode="d;;;"/>
    <numFmt numFmtId="170" formatCode="h:mm;@"/>
    <numFmt numFmtId="171" formatCode="0.0"/>
    <numFmt numFmtId="172" formatCode="#,##0.0"/>
  </numFmts>
  <fonts count="4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rebuchet MS"/>
      <family val="2"/>
    </font>
    <font>
      <b/>
      <sz val="16"/>
      <color indexed="12"/>
      <name val="Tahoma"/>
      <family val="2"/>
    </font>
    <font>
      <sz val="10"/>
      <name val="Tahoma"/>
      <family val="2"/>
    </font>
    <font>
      <sz val="8"/>
      <name val="Tahoma"/>
      <family val="2"/>
    </font>
    <font>
      <b/>
      <sz val="12"/>
      <color indexed="9"/>
      <name val="Tahoma"/>
      <family val="2"/>
    </font>
    <font>
      <sz val="10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Tahoma"/>
      <family val="2"/>
    </font>
    <font>
      <b/>
      <sz val="8"/>
      <name val="Tahoma"/>
      <family val="2"/>
    </font>
    <font>
      <b/>
      <sz val="16"/>
      <name val="Tahoma"/>
      <family val="2"/>
    </font>
    <font>
      <b/>
      <sz val="10"/>
      <name val="Tahoma"/>
      <family val="2"/>
    </font>
    <font>
      <sz val="9"/>
      <color indexed="21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0"/>
      <name val="Tahoma"/>
      <family val="2"/>
    </font>
    <font>
      <b/>
      <sz val="16"/>
      <color theme="0"/>
      <name val="Tahoma"/>
      <family val="2"/>
    </font>
    <font>
      <sz val="10"/>
      <color theme="0"/>
      <name val="Tahoma"/>
      <family val="2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Space Bd BT"/>
      <family val="5"/>
    </font>
    <font>
      <sz val="9"/>
      <color rgb="FF0B71AA"/>
      <name val="Calibri"/>
      <family val="2"/>
    </font>
    <font>
      <b/>
      <u/>
      <sz val="11"/>
      <color rgb="FF0B71AA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0"/>
      <name val="Space Bd BT"/>
      <family val="5"/>
    </font>
    <font>
      <b/>
      <i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B71AA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91">
    <border>
      <left/>
      <right/>
      <top/>
      <bottom/>
      <diagonal/>
    </border>
    <border>
      <left style="hair">
        <color indexed="42"/>
      </left>
      <right/>
      <top/>
      <bottom/>
      <diagonal/>
    </border>
    <border>
      <left style="medium">
        <color indexed="19"/>
      </left>
      <right style="hair">
        <color indexed="19"/>
      </right>
      <top style="medium">
        <color indexed="19"/>
      </top>
      <bottom style="hair">
        <color indexed="19"/>
      </bottom>
      <diagonal/>
    </border>
    <border>
      <left style="hair">
        <color indexed="19"/>
      </left>
      <right style="hair">
        <color indexed="19"/>
      </right>
      <top style="medium">
        <color indexed="19"/>
      </top>
      <bottom style="hair">
        <color indexed="19"/>
      </bottom>
      <diagonal/>
    </border>
    <border>
      <left style="hair">
        <color indexed="19"/>
      </left>
      <right/>
      <top style="medium">
        <color indexed="19"/>
      </top>
      <bottom style="hair">
        <color indexed="19"/>
      </bottom>
      <diagonal/>
    </border>
    <border>
      <left style="hair">
        <color indexed="19"/>
      </left>
      <right style="medium">
        <color indexed="19"/>
      </right>
      <top style="medium">
        <color indexed="19"/>
      </top>
      <bottom style="hair">
        <color indexed="19"/>
      </bottom>
      <diagonal/>
    </border>
    <border>
      <left style="medium">
        <color indexed="19"/>
      </left>
      <right style="hair">
        <color indexed="19"/>
      </right>
      <top style="hair">
        <color indexed="19"/>
      </top>
      <bottom style="hair">
        <color indexed="19"/>
      </bottom>
      <diagonal/>
    </border>
    <border>
      <left style="hair">
        <color indexed="19"/>
      </left>
      <right style="hair">
        <color indexed="19"/>
      </right>
      <top style="hair">
        <color indexed="19"/>
      </top>
      <bottom style="hair">
        <color indexed="19"/>
      </bottom>
      <diagonal/>
    </border>
    <border>
      <left style="hair">
        <color indexed="19"/>
      </left>
      <right/>
      <top style="hair">
        <color indexed="19"/>
      </top>
      <bottom style="hair">
        <color indexed="19"/>
      </bottom>
      <diagonal/>
    </border>
    <border>
      <left style="hair">
        <color indexed="19"/>
      </left>
      <right style="medium">
        <color indexed="19"/>
      </right>
      <top style="hair">
        <color indexed="19"/>
      </top>
      <bottom style="hair">
        <color indexed="19"/>
      </bottom>
      <diagonal/>
    </border>
    <border>
      <left style="medium">
        <color indexed="19"/>
      </left>
      <right style="hair">
        <color indexed="19"/>
      </right>
      <top style="hair">
        <color indexed="19"/>
      </top>
      <bottom style="medium">
        <color indexed="19"/>
      </bottom>
      <diagonal/>
    </border>
    <border>
      <left style="hair">
        <color indexed="19"/>
      </left>
      <right style="hair">
        <color indexed="19"/>
      </right>
      <top style="hair">
        <color indexed="19"/>
      </top>
      <bottom style="medium">
        <color indexed="19"/>
      </bottom>
      <diagonal/>
    </border>
    <border>
      <left style="hair">
        <color indexed="19"/>
      </left>
      <right/>
      <top style="hair">
        <color indexed="19"/>
      </top>
      <bottom style="medium">
        <color indexed="19"/>
      </bottom>
      <diagonal/>
    </border>
    <border>
      <left style="hair">
        <color indexed="19"/>
      </left>
      <right style="medium">
        <color indexed="19"/>
      </right>
      <top style="hair">
        <color indexed="19"/>
      </top>
      <bottom style="medium">
        <color indexed="19"/>
      </bottom>
      <diagonal/>
    </border>
    <border>
      <left style="medium">
        <color indexed="53"/>
      </left>
      <right style="hair">
        <color indexed="53"/>
      </right>
      <top style="medium">
        <color indexed="53"/>
      </top>
      <bottom style="hair">
        <color indexed="53"/>
      </bottom>
      <diagonal/>
    </border>
    <border>
      <left style="hair">
        <color indexed="53"/>
      </left>
      <right style="hair">
        <color indexed="53"/>
      </right>
      <top style="medium">
        <color indexed="53"/>
      </top>
      <bottom style="hair">
        <color indexed="53"/>
      </bottom>
      <diagonal/>
    </border>
    <border>
      <left style="hair">
        <color indexed="53"/>
      </left>
      <right style="medium">
        <color indexed="53"/>
      </right>
      <top style="medium">
        <color indexed="53"/>
      </top>
      <bottom style="hair">
        <color indexed="53"/>
      </bottom>
      <diagonal/>
    </border>
    <border>
      <left style="medium">
        <color indexed="53"/>
      </left>
      <right style="hair">
        <color indexed="53"/>
      </right>
      <top style="hair">
        <color indexed="53"/>
      </top>
      <bottom style="hair">
        <color indexed="53"/>
      </bottom>
      <diagonal/>
    </border>
    <border>
      <left style="hair">
        <color indexed="53"/>
      </left>
      <right style="hair">
        <color indexed="53"/>
      </right>
      <top style="hair">
        <color indexed="53"/>
      </top>
      <bottom style="hair">
        <color indexed="53"/>
      </bottom>
      <diagonal/>
    </border>
    <border>
      <left style="hair">
        <color indexed="53"/>
      </left>
      <right style="medium">
        <color indexed="53"/>
      </right>
      <top style="hair">
        <color indexed="53"/>
      </top>
      <bottom style="hair">
        <color indexed="53"/>
      </bottom>
      <diagonal/>
    </border>
    <border>
      <left style="medium">
        <color indexed="53"/>
      </left>
      <right style="hair">
        <color indexed="53"/>
      </right>
      <top style="hair">
        <color indexed="53"/>
      </top>
      <bottom style="medium">
        <color indexed="53"/>
      </bottom>
      <diagonal/>
    </border>
    <border>
      <left style="hair">
        <color indexed="53"/>
      </left>
      <right style="hair">
        <color indexed="53"/>
      </right>
      <top style="hair">
        <color indexed="53"/>
      </top>
      <bottom style="medium">
        <color indexed="53"/>
      </bottom>
      <diagonal/>
    </border>
    <border>
      <left style="hair">
        <color indexed="53"/>
      </left>
      <right style="medium">
        <color indexed="53"/>
      </right>
      <top style="hair">
        <color indexed="53"/>
      </top>
      <bottom style="medium">
        <color indexed="53"/>
      </bottom>
      <diagonal/>
    </border>
    <border>
      <left style="medium">
        <color indexed="21"/>
      </left>
      <right style="hair">
        <color indexed="21"/>
      </right>
      <top style="medium">
        <color indexed="21"/>
      </top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medium">
        <color indexed="21"/>
      </top>
      <bottom style="hair">
        <color indexed="21"/>
      </bottom>
      <diagonal/>
    </border>
    <border>
      <left style="hair">
        <color indexed="21"/>
      </left>
      <right style="medium">
        <color indexed="21"/>
      </right>
      <top style="medium">
        <color indexed="21"/>
      </top>
      <bottom style="hair">
        <color indexed="21"/>
      </bottom>
      <diagonal/>
    </border>
    <border>
      <left style="medium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hair">
        <color indexed="21"/>
      </left>
      <right style="medium">
        <color indexed="21"/>
      </right>
      <top style="hair">
        <color indexed="21"/>
      </top>
      <bottom style="hair">
        <color indexed="21"/>
      </bottom>
      <diagonal/>
    </border>
    <border>
      <left style="medium">
        <color indexed="21"/>
      </left>
      <right style="hair">
        <color indexed="21"/>
      </right>
      <top style="hair">
        <color indexed="21"/>
      </top>
      <bottom/>
      <diagonal/>
    </border>
    <border>
      <left style="hair">
        <color indexed="21"/>
      </left>
      <right style="hair">
        <color indexed="21"/>
      </right>
      <top style="hair">
        <color indexed="21"/>
      </top>
      <bottom/>
      <diagonal/>
    </border>
    <border>
      <left style="medium">
        <color indexed="21"/>
      </left>
      <right style="hair">
        <color indexed="21"/>
      </right>
      <top style="hair">
        <color indexed="21"/>
      </top>
      <bottom style="medium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medium">
        <color indexed="21"/>
      </bottom>
      <diagonal/>
    </border>
    <border>
      <left style="hair">
        <color indexed="21"/>
      </left>
      <right style="medium">
        <color indexed="21"/>
      </right>
      <top style="hair">
        <color indexed="21"/>
      </top>
      <bottom style="medium">
        <color indexed="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9"/>
      </bottom>
      <diagonal/>
    </border>
    <border>
      <left/>
      <right/>
      <top style="medium">
        <color indexed="23"/>
      </top>
      <bottom style="medium">
        <color indexed="9"/>
      </bottom>
      <diagonal/>
    </border>
    <border>
      <left/>
      <right style="medium">
        <color indexed="9"/>
      </right>
      <top style="medium">
        <color indexed="23"/>
      </top>
      <bottom style="medium">
        <color indexed="9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rgb="FF0B71AA"/>
      </left>
      <right style="thin">
        <color theme="3" tint="0.39994506668294322"/>
      </right>
      <top style="medium">
        <color rgb="FF0B71AA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rgb="FF0B71AA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rgb="FF0B71AA"/>
      </right>
      <top style="medium">
        <color rgb="FF0B71AA"/>
      </top>
      <bottom style="thin">
        <color theme="3" tint="0.39994506668294322"/>
      </bottom>
      <diagonal/>
    </border>
    <border>
      <left style="medium">
        <color rgb="FF0B71AA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rgb="FF0B71AA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rgb="FF0B71AA"/>
      </left>
      <right style="thin">
        <color theme="3" tint="0.39994506668294322"/>
      </right>
      <top style="thin">
        <color theme="3" tint="0.39994506668294322"/>
      </top>
      <bottom style="medium">
        <color rgb="FF0B71AA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rgb="FF0B71AA"/>
      </bottom>
      <diagonal/>
    </border>
    <border>
      <left style="thin">
        <color theme="3" tint="0.39994506668294322"/>
      </left>
      <right style="medium">
        <color rgb="FF0B71AA"/>
      </right>
      <top style="thin">
        <color theme="3" tint="0.39994506668294322"/>
      </top>
      <bottom style="medium">
        <color rgb="FF0B71AA"/>
      </bottom>
      <diagonal/>
    </border>
    <border>
      <left style="medium">
        <color rgb="FF0B71AA"/>
      </left>
      <right/>
      <top/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medium">
        <color rgb="FF0B71AA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medium">
        <color rgb="FF0B71AA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medium">
        <color rgb="FF0B71AA"/>
      </right>
      <top style="thin">
        <color theme="3" tint="0.39994506668294322"/>
      </top>
      <bottom/>
      <diagonal/>
    </border>
    <border>
      <left style="medium">
        <color rgb="FF0B71AA"/>
      </left>
      <right style="medium">
        <color rgb="FF0B71AA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rgb="FF0B71AA"/>
      </left>
      <right style="medium">
        <color rgb="FF0B71AA"/>
      </right>
      <top style="thin">
        <color theme="3" tint="0.39994506668294322"/>
      </top>
      <bottom style="medium">
        <color rgb="FF0B71AA"/>
      </bottom>
      <diagonal/>
    </border>
    <border>
      <left/>
      <right/>
      <top style="medium">
        <color rgb="FF0B71AA"/>
      </top>
      <bottom style="thin">
        <color theme="3" tint="0.39994506668294322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rgb="FF0B71AA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medium">
        <color rgb="FF0B71AA"/>
      </top>
      <bottom style="thin">
        <color theme="3" tint="0.39994506668294322"/>
      </bottom>
      <diagonal/>
    </border>
    <border>
      <left style="medium">
        <color theme="3" tint="0.39991454817346722"/>
      </left>
      <right style="thin">
        <color theme="3" tint="0.39994506668294322"/>
      </right>
      <top style="medium">
        <color rgb="FF0B71AA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 tint="0.39991454817346722"/>
      </right>
      <top style="medium">
        <color rgb="FF0B71AA"/>
      </top>
      <bottom style="thin">
        <color theme="3" tint="0.39994506668294322"/>
      </bottom>
      <diagonal/>
    </border>
    <border>
      <left/>
      <right style="medium">
        <color rgb="FF0B71AA"/>
      </right>
      <top style="medium">
        <color rgb="FF0B71AA"/>
      </top>
      <bottom style="thin">
        <color theme="3" tint="0.39994506668294322"/>
      </bottom>
      <diagonal/>
    </border>
    <border>
      <left style="medium">
        <color theme="3" tint="0.39991454817346722"/>
      </left>
      <right/>
      <top style="medium">
        <color rgb="FF0B71AA"/>
      </top>
      <bottom style="thin">
        <color theme="3" tint="0.39994506668294322"/>
      </bottom>
      <diagonal/>
    </border>
    <border>
      <left/>
      <right style="medium">
        <color theme="3" tint="0.39991454817346722"/>
      </right>
      <top style="medium">
        <color rgb="FF0B71AA"/>
      </top>
      <bottom style="thin">
        <color theme="3" tint="0.39994506668294322"/>
      </bottom>
      <diagonal/>
    </border>
    <border>
      <left style="medium">
        <color theme="3" tint="0.39988402966399123"/>
      </left>
      <right style="medium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 tint="0.39988402966399123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 tint="0.39988402966399123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8" tint="-0.24994659260841701"/>
      </left>
      <right/>
      <top/>
      <bottom/>
      <diagonal/>
    </border>
    <border>
      <left style="medium">
        <color rgb="FF0B71AA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medium">
        <color rgb="FF0B71AA"/>
      </bottom>
      <diagonal/>
    </border>
    <border>
      <left style="medium">
        <color rgb="FF0B71AA"/>
      </left>
      <right/>
      <top style="medium">
        <color rgb="FF0B71AA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medium">
        <color rgb="FF0B71AA"/>
      </top>
      <bottom style="thin">
        <color theme="3" tint="0.39994506668294322"/>
      </bottom>
      <diagonal/>
    </border>
    <border>
      <left/>
      <right style="medium">
        <color rgb="FF0B71AA"/>
      </right>
      <top/>
      <bottom/>
      <diagonal/>
    </border>
    <border>
      <left style="medium">
        <color rgb="FF0B71AA"/>
      </left>
      <right/>
      <top style="medium">
        <color rgb="FF0B71AA"/>
      </top>
      <bottom/>
      <diagonal/>
    </border>
    <border>
      <left/>
      <right style="medium">
        <color rgb="FF0B71AA"/>
      </right>
      <top style="medium">
        <color rgb="FF0B71AA"/>
      </top>
      <bottom/>
      <diagonal/>
    </border>
    <border>
      <left style="medium">
        <color rgb="FF0B71AA"/>
      </left>
      <right/>
      <top/>
      <bottom style="medium">
        <color rgb="FF0B71AA"/>
      </bottom>
      <diagonal/>
    </border>
    <border>
      <left/>
      <right style="medium">
        <color rgb="FF0B71AA"/>
      </right>
      <top/>
      <bottom style="medium">
        <color rgb="FF0B71AA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88402966399123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medium">
        <color rgb="FF0B71AA"/>
      </bottom>
      <diagonal/>
    </border>
    <border>
      <left style="thick">
        <color rgb="FF0B71AA"/>
      </left>
      <right/>
      <top style="thick">
        <color rgb="FF0B71AA"/>
      </top>
      <bottom style="thick">
        <color rgb="FF0B71AA"/>
      </bottom>
      <diagonal/>
    </border>
    <border>
      <left/>
      <right/>
      <top style="thick">
        <color rgb="FF0B71AA"/>
      </top>
      <bottom style="thick">
        <color rgb="FF0B71AA"/>
      </bottom>
      <diagonal/>
    </border>
    <border>
      <left/>
      <right style="thick">
        <color rgb="FF0B71AA"/>
      </right>
      <top style="thick">
        <color rgb="FF0B71AA"/>
      </top>
      <bottom style="thick">
        <color rgb="FF0B71AA"/>
      </bottom>
      <diagonal/>
    </border>
  </borders>
  <cellStyleXfs count="4">
    <xf numFmtId="0" fontId="0" fillId="0" borderId="0"/>
    <xf numFmtId="0" fontId="18" fillId="8" borderId="0" applyNumberFormat="0" applyBorder="0" applyAlignment="0" applyProtection="0"/>
    <xf numFmtId="0" fontId="21" fillId="0" borderId="0" applyNumberFormat="0" applyFill="0" applyBorder="0" applyAlignment="0" applyProtection="0"/>
    <xf numFmtId="164" fontId="18" fillId="0" borderId="0" applyFont="0" applyFill="0" applyBorder="0" applyAlignment="0" applyProtection="0"/>
  </cellStyleXfs>
  <cellXfs count="242">
    <xf numFmtId="0" fontId="0" fillId="0" borderId="0" xfId="0"/>
    <xf numFmtId="2" fontId="0" fillId="0" borderId="0" xfId="0" applyNumberFormat="1"/>
    <xf numFmtId="0" fontId="24" fillId="0" borderId="0" xfId="0" applyFont="1"/>
    <xf numFmtId="4" fontId="0" fillId="0" borderId="0" xfId="0" applyNumberFormat="1"/>
    <xf numFmtId="164" fontId="18" fillId="0" borderId="0" xfId="3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167" fontId="5" fillId="0" borderId="7" xfId="0" applyNumberFormat="1" applyFont="1" applyBorder="1"/>
    <xf numFmtId="167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0" fontId="8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7" fontId="5" fillId="0" borderId="11" xfId="0" applyNumberFormat="1" applyFont="1" applyBorder="1"/>
    <xf numFmtId="167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7" fillId="4" borderId="14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167" fontId="5" fillId="0" borderId="18" xfId="0" applyNumberFormat="1" applyFont="1" applyBorder="1"/>
    <xf numFmtId="167" fontId="5" fillId="0" borderId="18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 applyAlignment="1">
      <alignment horizontal="left"/>
    </xf>
    <xf numFmtId="167" fontId="5" fillId="0" borderId="21" xfId="0" applyNumberFormat="1" applyFont="1" applyBorder="1"/>
    <xf numFmtId="167" fontId="5" fillId="0" borderId="21" xfId="0" applyNumberFormat="1" applyFont="1" applyBorder="1" applyAlignment="1">
      <alignment horizontal="center"/>
    </xf>
    <xf numFmtId="0" fontId="5" fillId="0" borderId="22" xfId="0" applyFont="1" applyBorder="1"/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5" fillId="0" borderId="26" xfId="0" applyFont="1" applyBorder="1" applyAlignment="1">
      <alignment horizontal="left"/>
    </xf>
    <xf numFmtId="167" fontId="5" fillId="0" borderId="27" xfId="0" applyNumberFormat="1" applyFont="1" applyBorder="1"/>
    <xf numFmtId="167" fontId="5" fillId="0" borderId="27" xfId="0" applyNumberFormat="1" applyFont="1" applyBorder="1" applyAlignment="1">
      <alignment horizontal="center"/>
    </xf>
    <xf numFmtId="0" fontId="5" fillId="0" borderId="28" xfId="0" applyFont="1" applyBorder="1"/>
    <xf numFmtId="0" fontId="5" fillId="0" borderId="29" xfId="0" applyFont="1" applyBorder="1" applyAlignment="1">
      <alignment horizontal="left"/>
    </xf>
    <xf numFmtId="167" fontId="5" fillId="0" borderId="30" xfId="0" applyNumberFormat="1" applyFont="1" applyBorder="1"/>
    <xf numFmtId="167" fontId="5" fillId="0" borderId="30" xfId="0" applyNumberFormat="1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167" fontId="5" fillId="0" borderId="32" xfId="0" applyNumberFormat="1" applyFont="1" applyBorder="1"/>
    <xf numFmtId="167" fontId="5" fillId="0" borderId="32" xfId="0" applyNumberFormat="1" applyFont="1" applyBorder="1" applyAlignment="1">
      <alignment horizontal="center"/>
    </xf>
    <xf numFmtId="0" fontId="5" fillId="0" borderId="33" xfId="0" applyFont="1" applyBorder="1"/>
    <xf numFmtId="0" fontId="5" fillId="6" borderId="0" xfId="0" applyFont="1" applyFill="1"/>
    <xf numFmtId="0" fontId="11" fillId="6" borderId="0" xfId="0" applyFont="1" applyFill="1"/>
    <xf numFmtId="0" fontId="12" fillId="0" borderId="34" xfId="0" applyFont="1" applyBorder="1" applyAlignment="1">
      <alignment horizontal="right" vertical="center"/>
    </xf>
    <xf numFmtId="0" fontId="13" fillId="7" borderId="35" xfId="0" applyFont="1" applyFill="1" applyBorder="1" applyAlignment="1" applyProtection="1">
      <alignment horizontal="center" vertical="center"/>
      <protection locked="0"/>
    </xf>
    <xf numFmtId="0" fontId="12" fillId="7" borderId="35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14" fillId="6" borderId="36" xfId="0" applyFont="1" applyFill="1" applyBorder="1" applyAlignment="1">
      <alignment horizontal="center"/>
    </xf>
    <xf numFmtId="0" fontId="14" fillId="6" borderId="37" xfId="0" applyFont="1" applyFill="1" applyBorder="1" applyAlignment="1">
      <alignment horizontal="center"/>
    </xf>
    <xf numFmtId="0" fontId="14" fillId="6" borderId="38" xfId="0" applyFont="1" applyFill="1" applyBorder="1" applyAlignment="1">
      <alignment horizontal="center"/>
    </xf>
    <xf numFmtId="169" fontId="5" fillId="0" borderId="39" xfId="0" applyNumberFormat="1" applyFont="1" applyBorder="1" applyAlignment="1">
      <alignment horizontal="center" vertical="center"/>
    </xf>
    <xf numFmtId="169" fontId="26" fillId="11" borderId="39" xfId="0" applyNumberFormat="1" applyFont="1" applyFill="1" applyBorder="1" applyAlignment="1">
      <alignment horizontal="center" vertical="center"/>
    </xf>
    <xf numFmtId="0" fontId="27" fillId="11" borderId="0" xfId="0" applyFont="1" applyFill="1"/>
    <xf numFmtId="0" fontId="28" fillId="11" borderId="0" xfId="0" applyFont="1" applyFill="1"/>
    <xf numFmtId="0" fontId="27" fillId="11" borderId="0" xfId="0" applyFont="1" applyFill="1" applyAlignment="1">
      <alignment horizontal="right"/>
    </xf>
    <xf numFmtId="168" fontId="14" fillId="12" borderId="36" xfId="0" applyNumberFormat="1" applyFont="1" applyFill="1" applyBorder="1" applyAlignment="1">
      <alignment horizontal="centerContinuous"/>
    </xf>
    <xf numFmtId="0" fontId="14" fillId="12" borderId="37" xfId="0" applyFont="1" applyFill="1" applyBorder="1" applyAlignment="1">
      <alignment horizontal="centerContinuous"/>
    </xf>
    <xf numFmtId="0" fontId="14" fillId="12" borderId="38" xfId="0" applyFont="1" applyFill="1" applyBorder="1" applyAlignment="1">
      <alignment horizontal="centerContinuous"/>
    </xf>
    <xf numFmtId="0" fontId="33" fillId="14" borderId="47" xfId="1" applyFont="1" applyFill="1" applyBorder="1" applyAlignment="1">
      <alignment horizontal="center"/>
    </xf>
    <xf numFmtId="0" fontId="33" fillId="14" borderId="43" xfId="1" applyFont="1" applyFill="1" applyBorder="1" applyAlignment="1">
      <alignment horizontal="center"/>
    </xf>
    <xf numFmtId="0" fontId="34" fillId="14" borderId="49" xfId="1" applyFont="1" applyFill="1" applyBorder="1" applyAlignment="1">
      <alignment horizontal="center"/>
    </xf>
    <xf numFmtId="165" fontId="34" fillId="14" borderId="50" xfId="1" applyNumberFormat="1" applyFont="1" applyFill="1" applyBorder="1" applyAlignment="1">
      <alignment horizontal="center"/>
    </xf>
    <xf numFmtId="1" fontId="34" fillId="14" borderId="50" xfId="1" applyNumberFormat="1" applyFont="1" applyFill="1" applyBorder="1" applyAlignment="1">
      <alignment horizontal="center"/>
    </xf>
    <xf numFmtId="0" fontId="34" fillId="14" borderId="50" xfId="1" applyFont="1" applyFill="1" applyBorder="1" applyAlignment="1">
      <alignment horizontal="center"/>
    </xf>
    <xf numFmtId="0" fontId="32" fillId="14" borderId="50" xfId="1" applyFont="1" applyFill="1" applyBorder="1" applyAlignment="1"/>
    <xf numFmtId="0" fontId="32" fillId="14" borderId="51" xfId="1" applyFont="1" applyFill="1" applyBorder="1" applyAlignment="1">
      <alignment horizontal="center"/>
    </xf>
    <xf numFmtId="166" fontId="32" fillId="14" borderId="49" xfId="3" applyNumberFormat="1" applyFont="1" applyFill="1" applyBorder="1" applyAlignment="1">
      <alignment horizontal="center"/>
    </xf>
    <xf numFmtId="3" fontId="32" fillId="14" borderId="51" xfId="1" applyNumberFormat="1" applyFont="1" applyFill="1" applyBorder="1" applyAlignment="1">
      <alignment horizontal="center"/>
    </xf>
    <xf numFmtId="171" fontId="32" fillId="14" borderId="49" xfId="1" applyNumberFormat="1" applyFont="1" applyFill="1" applyBorder="1" applyAlignment="1">
      <alignment horizontal="center"/>
    </xf>
    <xf numFmtId="4" fontId="32" fillId="14" borderId="50" xfId="1" applyNumberFormat="1" applyFont="1" applyFill="1" applyBorder="1" applyAlignment="1">
      <alignment horizontal="center"/>
    </xf>
    <xf numFmtId="4" fontId="32" fillId="14" borderId="51" xfId="1" applyNumberFormat="1" applyFont="1" applyFill="1" applyBorder="1" applyAlignment="1">
      <alignment horizontal="center"/>
    </xf>
    <xf numFmtId="4" fontId="32" fillId="14" borderId="59" xfId="1" applyNumberFormat="1" applyFont="1" applyFill="1" applyBorder="1" applyAlignment="1">
      <alignment horizontal="center"/>
    </xf>
    <xf numFmtId="3" fontId="32" fillId="14" borderId="49" xfId="1" applyNumberFormat="1" applyFont="1" applyFill="1" applyBorder="1" applyAlignment="1">
      <alignment horizontal="center"/>
    </xf>
    <xf numFmtId="164" fontId="32" fillId="14" borderId="51" xfId="3" applyFont="1" applyFill="1" applyBorder="1" applyAlignment="1">
      <alignment horizontal="center"/>
    </xf>
    <xf numFmtId="164" fontId="32" fillId="14" borderId="49" xfId="3" applyFont="1" applyFill="1" applyBorder="1" applyAlignment="1">
      <alignment horizontal="center"/>
    </xf>
    <xf numFmtId="0" fontId="32" fillId="14" borderId="65" xfId="1" applyFont="1" applyFill="1" applyBorder="1" applyAlignment="1">
      <alignment horizontal="center"/>
    </xf>
    <xf numFmtId="0" fontId="32" fillId="14" borderId="61" xfId="1" applyFont="1" applyFill="1" applyBorder="1" applyAlignment="1">
      <alignment horizontal="center"/>
    </xf>
    <xf numFmtId="0" fontId="33" fillId="14" borderId="53" xfId="1" applyFont="1" applyFill="1" applyBorder="1" applyAlignment="1">
      <alignment horizontal="center"/>
    </xf>
    <xf numFmtId="0" fontId="33" fillId="14" borderId="69" xfId="1" applyFont="1" applyFill="1" applyBorder="1" applyAlignment="1">
      <alignment horizontal="center"/>
    </xf>
    <xf numFmtId="0" fontId="33" fillId="14" borderId="70" xfId="1" applyFont="1" applyFill="1" applyBorder="1" applyAlignment="1">
      <alignment horizontal="center"/>
    </xf>
    <xf numFmtId="0" fontId="33" fillId="14" borderId="68" xfId="1" applyFont="1" applyFill="1" applyBorder="1" applyAlignment="1">
      <alignment horizontal="center"/>
    </xf>
    <xf numFmtId="0" fontId="32" fillId="14" borderId="54" xfId="1" applyFont="1" applyFill="1" applyBorder="1" applyAlignment="1">
      <alignment horizontal="center"/>
    </xf>
    <xf numFmtId="0" fontId="0" fillId="0" borderId="45" xfId="0" applyBorder="1"/>
    <xf numFmtId="0" fontId="0" fillId="0" borderId="43" xfId="0" applyBorder="1"/>
    <xf numFmtId="4" fontId="36" fillId="9" borderId="43" xfId="0" applyNumberFormat="1" applyFont="1" applyFill="1" applyBorder="1" applyAlignment="1">
      <alignment horizontal="center"/>
    </xf>
    <xf numFmtId="4" fontId="36" fillId="9" borderId="48" xfId="0" applyNumberFormat="1" applyFont="1" applyFill="1" applyBorder="1" applyAlignment="1">
      <alignment horizontal="center"/>
    </xf>
    <xf numFmtId="0" fontId="0" fillId="0" borderId="50" xfId="0" applyBorder="1"/>
    <xf numFmtId="0" fontId="0" fillId="0" borderId="52" xfId="0" applyBorder="1"/>
    <xf numFmtId="0" fontId="31" fillId="0" borderId="0" xfId="0" applyFont="1" applyAlignment="1">
      <alignment horizontal="center" vertical="center"/>
    </xf>
    <xf numFmtId="0" fontId="15" fillId="0" borderId="0" xfId="0" applyFont="1" applyAlignment="1">
      <alignment vertical="justify" wrapText="1"/>
    </xf>
    <xf numFmtId="0" fontId="15" fillId="0" borderId="0" xfId="0" applyFont="1" applyAlignment="1">
      <alignment horizontal="center" vertical="justify" wrapText="1"/>
    </xf>
    <xf numFmtId="0" fontId="0" fillId="0" borderId="52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5" fontId="18" fillId="0" borderId="44" xfId="1" applyNumberFormat="1" applyFill="1" applyBorder="1" applyAlignment="1" applyProtection="1">
      <alignment horizontal="center"/>
      <protection locked="0"/>
    </xf>
    <xf numFmtId="165" fontId="18" fillId="0" borderId="45" xfId="1" applyNumberFormat="1" applyFill="1" applyBorder="1" applyAlignment="1" applyProtection="1">
      <alignment horizontal="center"/>
      <protection locked="0"/>
    </xf>
    <xf numFmtId="170" fontId="18" fillId="0" borderId="45" xfId="1" applyNumberFormat="1" applyFill="1" applyBorder="1" applyAlignment="1" applyProtection="1">
      <alignment horizontal="center"/>
      <protection locked="0"/>
    </xf>
    <xf numFmtId="0" fontId="18" fillId="0" borderId="45" xfId="1" applyNumberFormat="1" applyFill="1" applyBorder="1" applyAlignment="1" applyProtection="1">
      <alignment horizontal="center"/>
      <protection locked="0"/>
    </xf>
    <xf numFmtId="0" fontId="18" fillId="0" borderId="46" xfId="1" applyNumberFormat="1" applyFill="1" applyBorder="1" applyAlignment="1" applyProtection="1">
      <alignment horizontal="center"/>
      <protection locked="0"/>
    </xf>
    <xf numFmtId="165" fontId="18" fillId="0" borderId="47" xfId="1" applyNumberFormat="1" applyFill="1" applyBorder="1" applyAlignment="1" applyProtection="1">
      <alignment horizontal="center"/>
      <protection locked="0"/>
    </xf>
    <xf numFmtId="165" fontId="18" fillId="0" borderId="43" xfId="1" applyNumberFormat="1" applyFill="1" applyBorder="1" applyAlignment="1" applyProtection="1">
      <alignment horizontal="center"/>
      <protection locked="0"/>
    </xf>
    <xf numFmtId="170" fontId="18" fillId="0" borderId="43" xfId="1" applyNumberFormat="1" applyFill="1" applyBorder="1" applyAlignment="1" applyProtection="1">
      <alignment horizontal="center"/>
      <protection locked="0"/>
    </xf>
    <xf numFmtId="0" fontId="18" fillId="0" borderId="43" xfId="1" applyNumberFormat="1" applyFill="1" applyBorder="1" applyAlignment="1" applyProtection="1">
      <alignment horizontal="center"/>
      <protection locked="0"/>
    </xf>
    <xf numFmtId="0" fontId="18" fillId="0" borderId="48" xfId="1" applyNumberFormat="1" applyFill="1" applyBorder="1" applyAlignment="1" applyProtection="1">
      <alignment horizontal="center"/>
      <protection locked="0"/>
    </xf>
    <xf numFmtId="0" fontId="23" fillId="14" borderId="49" xfId="1" applyFont="1" applyFill="1" applyBorder="1" applyAlignment="1" applyProtection="1">
      <alignment horizontal="center"/>
    </xf>
    <xf numFmtId="0" fontId="23" fillId="14" borderId="50" xfId="1" applyFont="1" applyFill="1" applyBorder="1" applyAlignment="1" applyProtection="1">
      <alignment horizontal="center"/>
    </xf>
    <xf numFmtId="0" fontId="23" fillId="14" borderId="51" xfId="1" applyFont="1" applyFill="1" applyBorder="1" applyAlignment="1" applyProtection="1">
      <alignment horizontal="center"/>
    </xf>
    <xf numFmtId="4" fontId="18" fillId="0" borderId="45" xfId="1" applyNumberFormat="1" applyFill="1" applyBorder="1" applyAlignment="1" applyProtection="1">
      <alignment horizontal="center"/>
      <protection locked="0"/>
    </xf>
    <xf numFmtId="4" fontId="18" fillId="0" borderId="43" xfId="1" applyNumberFormat="1" applyFill="1" applyBorder="1" applyAlignment="1" applyProtection="1">
      <alignment horizontal="center"/>
      <protection locked="0"/>
    </xf>
    <xf numFmtId="165" fontId="19" fillId="14" borderId="49" xfId="1" applyNumberFormat="1" applyFont="1" applyFill="1" applyBorder="1" applyAlignment="1" applyProtection="1">
      <alignment horizontal="center"/>
      <protection locked="0"/>
    </xf>
    <xf numFmtId="165" fontId="19" fillId="14" borderId="50" xfId="1" applyNumberFormat="1" applyFont="1" applyFill="1" applyBorder="1" applyAlignment="1" applyProtection="1">
      <alignment horizontal="center"/>
      <protection locked="0"/>
    </xf>
    <xf numFmtId="170" fontId="19" fillId="14" borderId="50" xfId="1" applyNumberFormat="1" applyFont="1" applyFill="1" applyBorder="1" applyAlignment="1" applyProtection="1">
      <alignment horizontal="center"/>
      <protection locked="0"/>
    </xf>
    <xf numFmtId="0" fontId="19" fillId="14" borderId="50" xfId="1" applyNumberFormat="1" applyFont="1" applyFill="1" applyBorder="1" applyAlignment="1" applyProtection="1">
      <alignment horizontal="center"/>
      <protection locked="0"/>
    </xf>
    <xf numFmtId="0" fontId="19" fillId="14" borderId="51" xfId="1" applyNumberFormat="1" applyFont="1" applyFill="1" applyBorder="1" applyAlignment="1" applyProtection="1">
      <alignment horizontal="center"/>
      <protection locked="0"/>
    </xf>
    <xf numFmtId="4" fontId="20" fillId="14" borderId="50" xfId="1" applyNumberFormat="1" applyFont="1" applyFill="1" applyBorder="1" applyAlignment="1" applyProtection="1">
      <alignment horizontal="center"/>
      <protection locked="0"/>
    </xf>
    <xf numFmtId="0" fontId="33" fillId="14" borderId="71" xfId="1" applyFont="1" applyFill="1" applyBorder="1" applyAlignment="1">
      <alignment horizontal="center"/>
    </xf>
    <xf numFmtId="0" fontId="38" fillId="0" borderId="0" xfId="0" applyFont="1" applyAlignment="1">
      <alignment vertical="justify" wrapText="1"/>
    </xf>
    <xf numFmtId="0" fontId="32" fillId="14" borderId="60" xfId="1" applyFont="1" applyFill="1" applyBorder="1" applyAlignment="1">
      <alignment horizontal="center"/>
    </xf>
    <xf numFmtId="3" fontId="0" fillId="0" borderId="47" xfId="0" applyNumberFormat="1" applyBorder="1" applyAlignment="1" applyProtection="1">
      <alignment horizontal="center"/>
      <protection locked="0"/>
    </xf>
    <xf numFmtId="0" fontId="32" fillId="14" borderId="44" xfId="0" applyFont="1" applyFill="1" applyBorder="1" applyAlignment="1">
      <alignment horizontal="center"/>
    </xf>
    <xf numFmtId="0" fontId="0" fillId="0" borderId="47" xfId="0" applyBorder="1" applyAlignment="1" applyProtection="1">
      <alignment horizontal="center"/>
      <protection locked="0"/>
    </xf>
    <xf numFmtId="0" fontId="32" fillId="14" borderId="47" xfId="0" applyFont="1" applyFill="1" applyBorder="1" applyAlignment="1">
      <alignment horizontal="center"/>
    </xf>
    <xf numFmtId="3" fontId="22" fillId="9" borderId="49" xfId="0" applyNumberFormat="1" applyFont="1" applyFill="1" applyBorder="1" applyAlignment="1">
      <alignment horizontal="center"/>
    </xf>
    <xf numFmtId="3" fontId="22" fillId="0" borderId="47" xfId="0" applyNumberFormat="1" applyFont="1" applyBorder="1" applyAlignment="1">
      <alignment horizontal="center"/>
    </xf>
    <xf numFmtId="0" fontId="32" fillId="14" borderId="71" xfId="1" applyFont="1" applyFill="1" applyBorder="1" applyAlignment="1">
      <alignment horizontal="center"/>
    </xf>
    <xf numFmtId="0" fontId="32" fillId="0" borderId="0" xfId="1" applyFont="1" applyFill="1" applyBorder="1" applyAlignment="1">
      <alignment horizontal="center"/>
    </xf>
    <xf numFmtId="4" fontId="34" fillId="0" borderId="0" xfId="1" applyNumberFormat="1" applyFont="1" applyFill="1" applyBorder="1" applyAlignment="1">
      <alignment horizontal="center"/>
    </xf>
    <xf numFmtId="3" fontId="32" fillId="14" borderId="75" xfId="1" applyNumberFormat="1" applyFont="1" applyFill="1" applyBorder="1" applyAlignment="1">
      <alignment horizontal="center"/>
    </xf>
    <xf numFmtId="3" fontId="35" fillId="10" borderId="71" xfId="1" applyNumberFormat="1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40" fillId="0" borderId="78" xfId="0" applyFont="1" applyBorder="1" applyAlignment="1">
      <alignment vertical="top"/>
    </xf>
    <xf numFmtId="0" fontId="40" fillId="0" borderId="0" xfId="0" applyFont="1" applyAlignment="1">
      <alignment vertical="top"/>
    </xf>
    <xf numFmtId="0" fontId="38" fillId="0" borderId="0" xfId="0" applyFont="1" applyAlignment="1">
      <alignment vertical="justify"/>
    </xf>
    <xf numFmtId="0" fontId="35" fillId="9" borderId="47" xfId="1" applyFont="1" applyFill="1" applyBorder="1" applyAlignment="1">
      <alignment horizontal="center" vertical="center"/>
    </xf>
    <xf numFmtId="165" fontId="35" fillId="9" borderId="43" xfId="1" applyNumberFormat="1" applyFont="1" applyFill="1" applyBorder="1" applyAlignment="1" applyProtection="1">
      <alignment horizontal="center" vertical="center"/>
    </xf>
    <xf numFmtId="1" fontId="35" fillId="9" borderId="43" xfId="1" applyNumberFormat="1" applyFont="1" applyFill="1" applyBorder="1" applyAlignment="1" applyProtection="1">
      <alignment horizontal="center" vertical="center"/>
    </xf>
    <xf numFmtId="0" fontId="35" fillId="0" borderId="43" xfId="1" applyFont="1" applyFill="1" applyBorder="1" applyAlignment="1" applyProtection="1">
      <alignment vertical="center"/>
      <protection locked="0"/>
    </xf>
    <xf numFmtId="0" fontId="35" fillId="0" borderId="48" xfId="1" applyFont="1" applyFill="1" applyBorder="1" applyAlignment="1" applyProtection="1">
      <alignment horizontal="center" vertical="center"/>
      <protection locked="0"/>
    </xf>
    <xf numFmtId="3" fontId="35" fillId="0" borderId="47" xfId="1" applyNumberFormat="1" applyFont="1" applyFill="1" applyBorder="1" applyAlignment="1" applyProtection="1">
      <alignment horizontal="center" vertical="center"/>
      <protection locked="0"/>
    </xf>
    <xf numFmtId="3" fontId="35" fillId="9" borderId="48" xfId="1" applyNumberFormat="1" applyFont="1" applyFill="1" applyBorder="1" applyAlignment="1">
      <alignment horizontal="center" vertical="center"/>
    </xf>
    <xf numFmtId="171" fontId="35" fillId="9" borderId="47" xfId="1" applyNumberFormat="1" applyFont="1" applyFill="1" applyBorder="1" applyAlignment="1">
      <alignment horizontal="center" vertical="center"/>
    </xf>
    <xf numFmtId="4" fontId="35" fillId="0" borderId="43" xfId="1" applyNumberFormat="1" applyFont="1" applyFill="1" applyBorder="1" applyAlignment="1" applyProtection="1">
      <alignment horizontal="center" vertical="center"/>
      <protection locked="0"/>
    </xf>
    <xf numFmtId="4" fontId="35" fillId="9" borderId="48" xfId="1" applyNumberFormat="1" applyFont="1" applyFill="1" applyBorder="1" applyAlignment="1">
      <alignment horizontal="center" vertical="center"/>
    </xf>
    <xf numFmtId="4" fontId="35" fillId="0" borderId="58" xfId="1" applyNumberFormat="1" applyFont="1" applyFill="1" applyBorder="1" applyAlignment="1" applyProtection="1">
      <alignment horizontal="center" vertical="center"/>
      <protection locked="0"/>
    </xf>
    <xf numFmtId="4" fontId="35" fillId="0" borderId="48" xfId="1" applyNumberFormat="1" applyFont="1" applyFill="1" applyBorder="1" applyAlignment="1" applyProtection="1">
      <alignment horizontal="center" vertical="center"/>
      <protection locked="0"/>
    </xf>
    <xf numFmtId="4" fontId="35" fillId="0" borderId="47" xfId="1" applyNumberFormat="1" applyFont="1" applyFill="1" applyBorder="1" applyAlignment="1" applyProtection="1">
      <alignment horizontal="center" vertical="center"/>
      <protection locked="0"/>
    </xf>
    <xf numFmtId="4" fontId="35" fillId="0" borderId="71" xfId="1" applyNumberFormat="1" applyFont="1" applyFill="1" applyBorder="1" applyAlignment="1" applyProtection="1">
      <alignment horizontal="center" vertical="center"/>
      <protection locked="0"/>
    </xf>
    <xf numFmtId="4" fontId="35" fillId="9" borderId="58" xfId="1" applyNumberFormat="1" applyFont="1" applyFill="1" applyBorder="1" applyAlignment="1">
      <alignment horizontal="center" vertical="center"/>
    </xf>
    <xf numFmtId="4" fontId="21" fillId="0" borderId="58" xfId="2" applyNumberFormat="1" applyFill="1" applyBorder="1" applyAlignment="1" applyProtection="1">
      <alignment horizontal="left" vertical="center"/>
      <protection locked="0"/>
    </xf>
    <xf numFmtId="0" fontId="35" fillId="0" borderId="53" xfId="1" applyFont="1" applyFill="1" applyBorder="1" applyAlignment="1" applyProtection="1">
      <alignment vertical="center"/>
      <protection locked="0"/>
    </xf>
    <xf numFmtId="0" fontId="35" fillId="0" borderId="43" xfId="1" applyFont="1" applyFill="1" applyBorder="1" applyAlignment="1" applyProtection="1">
      <alignment horizontal="left" vertical="center"/>
      <protection locked="0"/>
    </xf>
    <xf numFmtId="14" fontId="35" fillId="9" borderId="43" xfId="1" applyNumberFormat="1" applyFont="1" applyFill="1" applyBorder="1" applyAlignment="1" applyProtection="1">
      <alignment horizontal="center" vertical="center"/>
    </xf>
    <xf numFmtId="0" fontId="32" fillId="14" borderId="45" xfId="0" applyFont="1" applyFill="1" applyBorder="1" applyAlignment="1">
      <alignment horizontal="center"/>
    </xf>
    <xf numFmtId="0" fontId="32" fillId="14" borderId="43" xfId="0" applyFont="1" applyFill="1" applyBorder="1" applyAlignment="1">
      <alignment horizontal="center"/>
    </xf>
    <xf numFmtId="0" fontId="32" fillId="14" borderId="48" xfId="0" applyFont="1" applyFill="1" applyBorder="1" applyAlignment="1">
      <alignment horizontal="center"/>
    </xf>
    <xf numFmtId="172" fontId="36" fillId="9" borderId="56" xfId="0" applyNumberFormat="1" applyFont="1" applyFill="1" applyBorder="1" applyAlignment="1">
      <alignment horizontal="center"/>
    </xf>
    <xf numFmtId="172" fontId="36" fillId="9" borderId="57" xfId="0" applyNumberFormat="1" applyFont="1" applyFill="1" applyBorder="1" applyAlignment="1">
      <alignment horizontal="center"/>
    </xf>
    <xf numFmtId="4" fontId="36" fillId="9" borderId="43" xfId="0" applyNumberFormat="1" applyFont="1" applyFill="1" applyBorder="1" applyAlignment="1">
      <alignment horizontal="center"/>
    </xf>
    <xf numFmtId="4" fontId="36" fillId="9" borderId="48" xfId="0" applyNumberFormat="1" applyFont="1" applyFill="1" applyBorder="1" applyAlignment="1">
      <alignment horizontal="center"/>
    </xf>
    <xf numFmtId="0" fontId="32" fillId="14" borderId="53" xfId="0" applyFont="1" applyFill="1" applyBorder="1" applyAlignment="1">
      <alignment horizontal="center"/>
    </xf>
    <xf numFmtId="4" fontId="36" fillId="9" borderId="53" xfId="0" applyNumberFormat="1" applyFont="1" applyFill="1" applyBorder="1" applyAlignment="1">
      <alignment horizontal="center"/>
    </xf>
    <xf numFmtId="14" fontId="0" fillId="0" borderId="43" xfId="0" applyNumberFormat="1" applyBorder="1" applyAlignment="1" applyProtection="1">
      <alignment horizontal="center"/>
      <protection locked="0"/>
    </xf>
    <xf numFmtId="0" fontId="32" fillId="14" borderId="63" xfId="1" applyFont="1" applyFill="1" applyBorder="1" applyAlignment="1">
      <alignment horizontal="center"/>
    </xf>
    <xf numFmtId="0" fontId="32" fillId="14" borderId="64" xfId="1" applyFont="1" applyFill="1" applyBorder="1" applyAlignment="1">
      <alignment horizontal="center"/>
    </xf>
    <xf numFmtId="0" fontId="32" fillId="14" borderId="46" xfId="0" applyFont="1" applyFill="1" applyBorder="1" applyAlignment="1">
      <alignment horizontal="center"/>
    </xf>
    <xf numFmtId="4" fontId="35" fillId="0" borderId="74" xfId="3" applyNumberFormat="1" applyFont="1" applyFill="1" applyBorder="1" applyAlignment="1" applyProtection="1">
      <alignment horizontal="center"/>
      <protection locked="0"/>
    </xf>
    <xf numFmtId="4" fontId="35" fillId="0" borderId="72" xfId="3" applyNumberFormat="1" applyFont="1" applyFill="1" applyBorder="1" applyAlignment="1" applyProtection="1">
      <alignment horizontal="center"/>
      <protection locked="0"/>
    </xf>
    <xf numFmtId="3" fontId="35" fillId="0" borderId="43" xfId="1" applyNumberFormat="1" applyFont="1" applyFill="1" applyBorder="1" applyAlignment="1" applyProtection="1">
      <alignment horizontal="center" vertical="center"/>
      <protection locked="0"/>
    </xf>
    <xf numFmtId="4" fontId="35" fillId="0" borderId="74" xfId="0" applyNumberFormat="1" applyFont="1" applyBorder="1" applyAlignment="1" applyProtection="1">
      <alignment horizontal="center"/>
      <protection locked="0"/>
    </xf>
    <xf numFmtId="4" fontId="35" fillId="0" borderId="72" xfId="0" applyNumberFormat="1" applyFont="1" applyBorder="1" applyAlignment="1" applyProtection="1">
      <alignment horizontal="center"/>
      <protection locked="0"/>
    </xf>
    <xf numFmtId="0" fontId="32" fillId="14" borderId="47" xfId="0" applyFont="1" applyFill="1" applyBorder="1" applyAlignment="1">
      <alignment horizontal="center"/>
    </xf>
    <xf numFmtId="0" fontId="37" fillId="14" borderId="83" xfId="0" applyFont="1" applyFill="1" applyBorder="1" applyAlignment="1">
      <alignment horizontal="center"/>
    </xf>
    <xf numFmtId="0" fontId="37" fillId="14" borderId="84" xfId="0" applyFont="1" applyFill="1" applyBorder="1" applyAlignment="1">
      <alignment horizontal="center"/>
    </xf>
    <xf numFmtId="0" fontId="37" fillId="14" borderId="85" xfId="0" applyFont="1" applyFill="1" applyBorder="1" applyAlignment="1">
      <alignment horizontal="center"/>
    </xf>
    <xf numFmtId="0" fontId="25" fillId="0" borderId="83" xfId="0" applyFont="1" applyBorder="1" applyAlignment="1" applyProtection="1">
      <alignment horizontal="center" vertical="center" wrapText="1"/>
      <protection locked="0"/>
    </xf>
    <xf numFmtId="0" fontId="25" fillId="0" borderId="84" xfId="0" applyFont="1" applyBorder="1" applyAlignment="1" applyProtection="1">
      <alignment horizontal="center" vertical="center" wrapText="1"/>
      <protection locked="0"/>
    </xf>
    <xf numFmtId="0" fontId="25" fillId="0" borderId="85" xfId="0" applyFont="1" applyBorder="1" applyAlignment="1" applyProtection="1">
      <alignment horizontal="center" vertical="center" wrapText="1"/>
      <protection locked="0"/>
    </xf>
    <xf numFmtId="0" fontId="39" fillId="0" borderId="88" xfId="2" applyFont="1" applyBorder="1" applyAlignment="1" applyProtection="1">
      <alignment horizontal="center"/>
      <protection locked="0"/>
    </xf>
    <xf numFmtId="0" fontId="39" fillId="0" borderId="89" xfId="2" applyFont="1" applyBorder="1" applyAlignment="1" applyProtection="1">
      <alignment horizontal="center"/>
      <protection locked="0"/>
    </xf>
    <xf numFmtId="0" fontId="39" fillId="0" borderId="90" xfId="2" applyFont="1" applyBorder="1" applyAlignment="1" applyProtection="1">
      <alignment horizontal="center"/>
      <protection locked="0"/>
    </xf>
    <xf numFmtId="0" fontId="32" fillId="14" borderId="44" xfId="1" applyFont="1" applyFill="1" applyBorder="1" applyAlignment="1">
      <alignment horizontal="center"/>
    </xf>
    <xf numFmtId="0" fontId="32" fillId="14" borderId="45" xfId="1" applyFont="1" applyFill="1" applyBorder="1" applyAlignment="1">
      <alignment horizontal="center"/>
    </xf>
    <xf numFmtId="0" fontId="32" fillId="14" borderId="62" xfId="1" applyFont="1" applyFill="1" applyBorder="1" applyAlignment="1">
      <alignment horizontal="center"/>
    </xf>
    <xf numFmtId="0" fontId="32" fillId="14" borderId="45" xfId="0" applyFont="1" applyFill="1" applyBorder="1" applyAlignment="1">
      <alignment horizontal="left"/>
    </xf>
    <xf numFmtId="0" fontId="32" fillId="14" borderId="46" xfId="0" applyFont="1" applyFill="1" applyBorder="1" applyAlignment="1">
      <alignment horizontal="left"/>
    </xf>
    <xf numFmtId="0" fontId="32" fillId="14" borderId="60" xfId="1" applyFont="1" applyFill="1" applyBorder="1" applyAlignment="1">
      <alignment horizontal="center"/>
    </xf>
    <xf numFmtId="0" fontId="32" fillId="14" borderId="66" xfId="1" applyFont="1" applyFill="1" applyBorder="1" applyAlignment="1">
      <alignment horizontal="center"/>
    </xf>
    <xf numFmtId="0" fontId="32" fillId="14" borderId="67" xfId="1" applyFont="1" applyFill="1" applyBorder="1" applyAlignment="1">
      <alignment horizontal="center"/>
    </xf>
    <xf numFmtId="0" fontId="33" fillId="14" borderId="53" xfId="1" applyFont="1" applyFill="1" applyBorder="1" applyAlignment="1">
      <alignment horizontal="center"/>
    </xf>
    <xf numFmtId="0" fontId="33" fillId="14" borderId="72" xfId="1" applyFont="1" applyFill="1" applyBorder="1" applyAlignment="1">
      <alignment horizontal="center"/>
    </xf>
    <xf numFmtId="3" fontId="22" fillId="9" borderId="50" xfId="0" applyNumberFormat="1" applyFont="1" applyFill="1" applyBorder="1" applyAlignment="1">
      <alignment horizontal="center"/>
    </xf>
    <xf numFmtId="0" fontId="33" fillId="14" borderId="43" xfId="1" applyFont="1" applyFill="1" applyBorder="1" applyAlignment="1">
      <alignment horizontal="center"/>
    </xf>
    <xf numFmtId="4" fontId="36" fillId="9" borderId="50" xfId="0" applyNumberFormat="1" applyFont="1" applyFill="1" applyBorder="1" applyAlignment="1">
      <alignment horizontal="center"/>
    </xf>
    <xf numFmtId="4" fontId="36" fillId="9" borderId="55" xfId="0" applyNumberFormat="1" applyFont="1" applyFill="1" applyBorder="1" applyAlignment="1">
      <alignment horizontal="center"/>
    </xf>
    <xf numFmtId="4" fontId="35" fillId="10" borderId="87" xfId="0" applyNumberFormat="1" applyFont="1" applyFill="1" applyBorder="1" applyAlignment="1" applyProtection="1">
      <alignment horizontal="center"/>
      <protection locked="0"/>
    </xf>
    <xf numFmtId="4" fontId="35" fillId="10" borderId="50" xfId="0" applyNumberFormat="1" applyFont="1" applyFill="1" applyBorder="1" applyAlignment="1" applyProtection="1">
      <alignment horizontal="center"/>
      <protection locked="0"/>
    </xf>
    <xf numFmtId="0" fontId="22" fillId="9" borderId="50" xfId="0" applyFont="1" applyFill="1" applyBorder="1" applyAlignment="1">
      <alignment horizontal="center"/>
    </xf>
    <xf numFmtId="0" fontId="22" fillId="9" borderId="51" xfId="0" applyFont="1" applyFill="1" applyBorder="1" applyAlignment="1">
      <alignment horizontal="center"/>
    </xf>
    <xf numFmtId="3" fontId="0" fillId="0" borderId="43" xfId="0" applyNumberFormat="1" applyBorder="1" applyAlignment="1" applyProtection="1">
      <alignment horizontal="center"/>
      <protection locked="0"/>
    </xf>
    <xf numFmtId="3" fontId="0" fillId="0" borderId="48" xfId="0" applyNumberFormat="1" applyBorder="1" applyAlignment="1" applyProtection="1">
      <alignment horizontal="center"/>
      <protection locked="0"/>
    </xf>
    <xf numFmtId="14" fontId="0" fillId="9" borderId="43" xfId="0" applyNumberFormat="1" applyFill="1" applyBorder="1" applyAlignment="1">
      <alignment horizontal="center"/>
    </xf>
    <xf numFmtId="4" fontId="35" fillId="10" borderId="74" xfId="0" applyNumberFormat="1" applyFont="1" applyFill="1" applyBorder="1" applyAlignment="1" applyProtection="1">
      <alignment horizontal="center"/>
      <protection locked="0"/>
    </xf>
    <xf numFmtId="4" fontId="35" fillId="10" borderId="72" xfId="0" applyNumberFormat="1" applyFont="1" applyFill="1" applyBorder="1" applyAlignment="1" applyProtection="1">
      <alignment horizontal="center"/>
      <protection locked="0"/>
    </xf>
    <xf numFmtId="3" fontId="32" fillId="14" borderId="50" xfId="1" applyNumberFormat="1" applyFont="1" applyFill="1" applyBorder="1" applyAlignment="1">
      <alignment horizontal="center"/>
    </xf>
    <xf numFmtId="0" fontId="22" fillId="0" borderId="47" xfId="0" applyFont="1" applyBorder="1" applyAlignment="1" applyProtection="1">
      <alignment horizontal="center"/>
      <protection locked="0"/>
    </xf>
    <xf numFmtId="0" fontId="22" fillId="0" borderId="43" xfId="0" applyFont="1" applyBorder="1" applyAlignment="1" applyProtection="1">
      <alignment horizontal="center"/>
      <protection locked="0"/>
    </xf>
    <xf numFmtId="3" fontId="24" fillId="0" borderId="43" xfId="0" applyNumberFormat="1" applyFont="1" applyBorder="1" applyAlignment="1">
      <alignment horizontal="center"/>
    </xf>
    <xf numFmtId="3" fontId="24" fillId="0" borderId="48" xfId="0" applyNumberFormat="1" applyFont="1" applyBorder="1" applyAlignment="1">
      <alignment horizontal="center"/>
    </xf>
    <xf numFmtId="0" fontId="32" fillId="14" borderId="74" xfId="0" applyFont="1" applyFill="1" applyBorder="1" applyAlignment="1">
      <alignment horizontal="center"/>
    </xf>
    <xf numFmtId="0" fontId="32" fillId="14" borderId="72" xfId="0" applyFont="1" applyFill="1" applyBorder="1" applyAlignment="1">
      <alignment horizontal="center"/>
    </xf>
    <xf numFmtId="14" fontId="0" fillId="9" borderId="47" xfId="0" applyNumberFormat="1" applyFill="1" applyBorder="1" applyAlignment="1">
      <alignment horizontal="center"/>
    </xf>
    <xf numFmtId="0" fontId="32" fillId="14" borderId="44" xfId="0" applyFont="1" applyFill="1" applyBorder="1" applyAlignment="1">
      <alignment horizontal="center"/>
    </xf>
    <xf numFmtId="0" fontId="32" fillId="14" borderId="76" xfId="0" applyFont="1" applyFill="1" applyBorder="1" applyAlignment="1">
      <alignment horizontal="center"/>
    </xf>
    <xf numFmtId="0" fontId="32" fillId="14" borderId="77" xfId="0" applyFont="1" applyFill="1" applyBorder="1" applyAlignment="1">
      <alignment horizontal="center"/>
    </xf>
    <xf numFmtId="14" fontId="0" fillId="0" borderId="47" xfId="0" applyNumberFormat="1" applyBorder="1" applyAlignment="1" applyProtection="1">
      <alignment horizontal="center"/>
      <protection locked="0"/>
    </xf>
    <xf numFmtId="0" fontId="45" fillId="15" borderId="73" xfId="0" applyFont="1" applyFill="1" applyBorder="1" applyAlignment="1">
      <alignment horizontal="center" vertical="center"/>
    </xf>
    <xf numFmtId="0" fontId="45" fillId="15" borderId="0" xfId="0" applyFont="1" applyFill="1" applyAlignment="1">
      <alignment horizontal="center" vertical="center"/>
    </xf>
    <xf numFmtId="0" fontId="20" fillId="14" borderId="52" xfId="0" applyFont="1" applyFill="1" applyBorder="1" applyAlignment="1">
      <alignment horizontal="center"/>
    </xf>
    <xf numFmtId="0" fontId="20" fillId="14" borderId="0" xfId="0" applyFont="1" applyFill="1" applyAlignment="1">
      <alignment horizontal="center"/>
    </xf>
    <xf numFmtId="0" fontId="0" fillId="0" borderId="43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22" fillId="9" borderId="49" xfId="0" applyFont="1" applyFill="1" applyBorder="1" applyAlignment="1">
      <alignment horizontal="center"/>
    </xf>
    <xf numFmtId="0" fontId="29" fillId="14" borderId="44" xfId="1" applyFont="1" applyFill="1" applyBorder="1" applyAlignment="1" applyProtection="1">
      <alignment horizontal="center" vertical="center"/>
    </xf>
    <xf numFmtId="0" fontId="29" fillId="14" borderId="45" xfId="1" applyFont="1" applyFill="1" applyBorder="1" applyAlignment="1" applyProtection="1">
      <alignment horizontal="center" vertical="center"/>
    </xf>
    <xf numFmtId="0" fontId="29" fillId="14" borderId="46" xfId="1" applyFont="1" applyFill="1" applyBorder="1" applyAlignment="1" applyProtection="1">
      <alignment horizontal="center" vertical="center"/>
    </xf>
    <xf numFmtId="0" fontId="27" fillId="13" borderId="40" xfId="0" applyFont="1" applyFill="1" applyBorder="1" applyAlignment="1" applyProtection="1">
      <alignment horizontal="center" vertical="center"/>
      <protection locked="0"/>
    </xf>
    <xf numFmtId="0" fontId="27" fillId="13" borderId="41" xfId="0" applyFont="1" applyFill="1" applyBorder="1" applyAlignment="1" applyProtection="1">
      <alignment horizontal="center" vertical="center"/>
      <protection locked="0"/>
    </xf>
    <xf numFmtId="0" fontId="27" fillId="13" borderId="42" xfId="0" applyFont="1" applyFill="1" applyBorder="1" applyAlignment="1" applyProtection="1">
      <alignment horizontal="center" vertical="center"/>
      <protection locked="0"/>
    </xf>
    <xf numFmtId="0" fontId="40" fillId="16" borderId="79" xfId="0" applyFont="1" applyFill="1" applyBorder="1" applyAlignment="1">
      <alignment horizontal="left" vertical="top" wrapText="1"/>
    </xf>
    <xf numFmtId="0" fontId="40" fillId="16" borderId="80" xfId="0" applyFont="1" applyFill="1" applyBorder="1" applyAlignment="1">
      <alignment horizontal="left" vertical="top" wrapText="1"/>
    </xf>
    <xf numFmtId="0" fontId="40" fillId="16" borderId="52" xfId="0" applyFont="1" applyFill="1" applyBorder="1" applyAlignment="1">
      <alignment horizontal="left" vertical="top" wrapText="1"/>
    </xf>
    <xf numFmtId="0" fontId="40" fillId="16" borderId="78" xfId="0" applyFont="1" applyFill="1" applyBorder="1" applyAlignment="1">
      <alignment horizontal="left" vertical="top" wrapText="1"/>
    </xf>
    <xf numFmtId="0" fontId="40" fillId="16" borderId="81" xfId="0" applyFont="1" applyFill="1" applyBorder="1" applyAlignment="1">
      <alignment horizontal="left" vertical="top" wrapText="1"/>
    </xf>
    <xf numFmtId="0" fontId="40" fillId="16" borderId="82" xfId="0" applyFont="1" applyFill="1" applyBorder="1" applyAlignment="1">
      <alignment horizontal="left" vertical="top" wrapText="1"/>
    </xf>
    <xf numFmtId="0" fontId="46" fillId="16" borderId="86" xfId="1" applyFont="1" applyFill="1" applyBorder="1" applyAlignment="1">
      <alignment horizontal="center"/>
    </xf>
    <xf numFmtId="0" fontId="46" fillId="16" borderId="69" xfId="1" applyFont="1" applyFill="1" applyBorder="1" applyAlignment="1">
      <alignment horizontal="center"/>
    </xf>
  </cellXfs>
  <cellStyles count="4">
    <cellStyle name="40% - Ênfase1" xfId="1" builtinId="31"/>
    <cellStyle name="Hiperlink" xfId="2" builtinId="8"/>
    <cellStyle name="Normal" xfId="0" builtinId="0"/>
    <cellStyle name="Vírgula" xfId="3" builtinId="3"/>
  </cellStyles>
  <dxfs count="14">
    <dxf>
      <font>
        <b/>
        <i val="0"/>
        <condense val="0"/>
        <extend val="0"/>
        <color indexed="12"/>
      </font>
      <fill>
        <patternFill>
          <bgColor indexed="41"/>
        </patternFill>
      </fill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3" tint="0.79998168889431442"/>
        </patternFill>
      </fill>
    </dxf>
    <dxf>
      <font>
        <b/>
        <i val="0"/>
        <color theme="0"/>
      </font>
      <numFmt numFmtId="1" formatCode="0"/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3" tint="0.79998168889431442"/>
      </font>
    </dxf>
    <dxf>
      <font>
        <color theme="3" tint="0.79998168889431442"/>
      </font>
    </dxf>
    <dxf>
      <font>
        <color theme="3" tint="0.79998168889431442"/>
      </font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B71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5" fmlaLink="$AA$2" max="2050" min="1900" page="10" val="2026"/>
</file>

<file path=xl/ctrlProps/ctrlProp2.xml><?xml version="1.0" encoding="utf-8"?>
<formControlPr xmlns="http://schemas.microsoft.com/office/spreadsheetml/2009/9/main" objectType="GBox"/>
</file>

<file path=xl/ctrlProps/ctrlProp3.xml><?xml version="1.0" encoding="utf-8"?>
<formControlPr xmlns="http://schemas.microsoft.com/office/spreadsheetml/2009/9/main" objectType="CheckBox" fmlaLink="$AG$2" lockText="1"/>
</file>

<file path=xl/ctrlProps/ctrlProp4.xml><?xml version="1.0" encoding="utf-8"?>
<formControlPr xmlns="http://schemas.microsoft.com/office/spreadsheetml/2009/9/main" objectType="CheckBox" fmlaLink="$AE$2" lockText="1"/>
</file>

<file path=xl/ctrlProps/ctrlProp5.xml><?xml version="1.0" encoding="utf-8"?>
<formControlPr xmlns="http://schemas.microsoft.com/office/spreadsheetml/2009/9/main" objectType="CheckBox" checked="Checked" fmlaLink="$AC$2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390525</xdr:colOff>
      <xdr:row>3</xdr:row>
      <xdr:rowOff>38100</xdr:rowOff>
    </xdr:from>
    <xdr:to>
      <xdr:col>21</xdr:col>
      <xdr:colOff>161925</xdr:colOff>
      <xdr:row>13</xdr:row>
      <xdr:rowOff>17295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06550" y="600075"/>
          <a:ext cx="1943100" cy="1941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161925</xdr:rowOff>
        </xdr:from>
        <xdr:to>
          <xdr:col>6</xdr:col>
          <xdr:colOff>9525</xdr:colOff>
          <xdr:row>2</xdr:row>
          <xdr:rowOff>0</xdr:rowOff>
        </xdr:to>
        <xdr:sp macro="" textlink="">
          <xdr:nvSpPr>
            <xdr:cNvPr id="22529" name="Spinner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0</xdr:row>
          <xdr:rowOff>95250</xdr:rowOff>
        </xdr:from>
        <xdr:to>
          <xdr:col>22</xdr:col>
          <xdr:colOff>152400</xdr:colOff>
          <xdr:row>2</xdr:row>
          <xdr:rowOff>47625</xdr:rowOff>
        </xdr:to>
        <xdr:sp macro="" textlink="">
          <xdr:nvSpPr>
            <xdr:cNvPr id="22530" name="Group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2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Mostrar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133350</xdr:colOff>
          <xdr:row>0</xdr:row>
          <xdr:rowOff>161925</xdr:rowOff>
        </xdr:from>
        <xdr:to>
          <xdr:col>22</xdr:col>
          <xdr:colOff>47625</xdr:colOff>
          <xdr:row>2</xdr:row>
          <xdr:rowOff>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2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Feriados nos EUA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0</xdr:row>
          <xdr:rowOff>161925</xdr:rowOff>
        </xdr:from>
        <xdr:to>
          <xdr:col>16</xdr:col>
          <xdr:colOff>238125</xdr:colOff>
          <xdr:row>2</xdr:row>
          <xdr:rowOff>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2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Datas Comemorativas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0</xdr:row>
          <xdr:rowOff>161925</xdr:rowOff>
        </xdr:from>
        <xdr:to>
          <xdr:col>11</xdr:col>
          <xdr:colOff>95250</xdr:colOff>
          <xdr:row>2</xdr:row>
          <xdr:rowOff>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2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Feriados Nacionais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aps.app.goo.gl/EAm9wd5P7QAQn2V69" TargetMode="External"/><Relationship Id="rId3" Type="http://schemas.openxmlformats.org/officeDocument/2006/relationships/hyperlink" Target="https://maps.app.goo.gl/Fq8bw7TGL8Cmmmev5" TargetMode="External"/><Relationship Id="rId7" Type="http://schemas.openxmlformats.org/officeDocument/2006/relationships/hyperlink" Target="https://maps.app.goo.gl/SxmAqUNcKLphTwc8A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maps.app.goo.gl/nxNL5fifC9deoye39" TargetMode="External"/><Relationship Id="rId1" Type="http://schemas.openxmlformats.org/officeDocument/2006/relationships/hyperlink" Target="https://maps.app.goo.gl/58fdaf7S7HKYafheA" TargetMode="External"/><Relationship Id="rId6" Type="http://schemas.openxmlformats.org/officeDocument/2006/relationships/hyperlink" Target="https://maps.app.goo.gl/3YM7DMrMf83TxkD58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maps.app.goo.gl/k7Au1vhTtnxnYM3r6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maps.app.goo.gl/kkUVnBDfSWw4AcfM7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3">
    <tabColor rgb="FF0070C0"/>
    <pageSetUpPr fitToPage="1"/>
  </sheetPr>
  <dimension ref="A1:AQ86"/>
  <sheetViews>
    <sheetView showGridLines="0" tabSelected="1" zoomScale="106" zoomScaleNormal="106" workbookViewId="0">
      <pane xSplit="12" ySplit="16" topLeftCell="M17" activePane="bottomRight" state="frozen"/>
      <selection pane="topRight" activeCell="M1" sqref="M1"/>
      <selection pane="bottomLeft" activeCell="A17" sqref="A17"/>
      <selection pane="bottomRight" activeCell="H7" sqref="H7"/>
    </sheetView>
  </sheetViews>
  <sheetFormatPr defaultColWidth="0" defaultRowHeight="0" customHeight="1" zeroHeight="1" x14ac:dyDescent="0.25"/>
  <cols>
    <col min="1" max="1" width="3" customWidth="1"/>
    <col min="2" max="3" width="10.7109375" customWidth="1"/>
    <col min="4" max="4" width="10.7109375" hidden="1" customWidth="1"/>
    <col min="5" max="5" width="10.7109375" customWidth="1"/>
    <col min="6" max="6" width="17.28515625" customWidth="1"/>
    <col min="7" max="7" width="1.85546875" customWidth="1"/>
    <col min="8" max="8" width="17.85546875" customWidth="1"/>
    <col min="9" max="11" width="10.7109375" customWidth="1"/>
    <col min="12" max="12" width="37.85546875" customWidth="1"/>
    <col min="13" max="15" width="10.7109375" customWidth="1"/>
    <col min="16" max="16" width="13" customWidth="1"/>
    <col min="17" max="20" width="10.7109375" customWidth="1"/>
    <col min="21" max="21" width="11.140625" bestFit="1" customWidth="1"/>
    <col min="22" max="22" width="11.140625" customWidth="1"/>
    <col min="23" max="23" width="10.7109375" customWidth="1"/>
    <col min="24" max="24" width="14.140625" bestFit="1" customWidth="1"/>
    <col min="25" max="25" width="21.5703125" customWidth="1"/>
    <col min="26" max="26" width="2" customWidth="1"/>
    <col min="27" max="27" width="14.7109375" hidden="1" customWidth="1"/>
    <col min="28" max="16384" width="14.7109375" hidden="1"/>
  </cols>
  <sheetData>
    <row r="1" spans="2:26" ht="18.75" thickBot="1" x14ac:dyDescent="0.3">
      <c r="B1" s="177" t="s">
        <v>138</v>
      </c>
      <c r="C1" s="178"/>
      <c r="D1" s="178"/>
      <c r="E1" s="178"/>
      <c r="F1" s="178"/>
      <c r="G1" s="178"/>
      <c r="H1" s="178"/>
      <c r="I1" s="178"/>
      <c r="J1" s="178"/>
      <c r="K1" s="178"/>
      <c r="L1" s="179"/>
    </row>
    <row r="2" spans="2:26" ht="19.5" customHeight="1" thickBot="1" x14ac:dyDescent="0.3">
      <c r="B2" s="180" t="s">
        <v>160</v>
      </c>
      <c r="C2" s="181"/>
      <c r="D2" s="181"/>
      <c r="E2" s="181"/>
      <c r="F2" s="181"/>
      <c r="G2" s="181"/>
      <c r="H2" s="181"/>
      <c r="I2" s="181"/>
      <c r="J2" s="181"/>
      <c r="K2" s="181"/>
      <c r="L2" s="182"/>
    </row>
    <row r="3" spans="2:26" ht="6" customHeight="1" thickBot="1" x14ac:dyDescent="0.3"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</row>
    <row r="4" spans="2:26" ht="15.75" customHeight="1" x14ac:dyDescent="0.25">
      <c r="B4" s="217" t="s">
        <v>15</v>
      </c>
      <c r="C4" s="158"/>
      <c r="D4" s="88"/>
      <c r="E4" s="158" t="s">
        <v>20</v>
      </c>
      <c r="F4" s="158"/>
      <c r="H4" s="125" t="s">
        <v>114</v>
      </c>
      <c r="I4" s="189" t="s">
        <v>112</v>
      </c>
      <c r="J4" s="190"/>
      <c r="K4" s="234" t="s">
        <v>168</v>
      </c>
      <c r="L4" s="235"/>
      <c r="M4" s="218" t="s">
        <v>103</v>
      </c>
      <c r="N4" s="219"/>
      <c r="O4" s="158" t="s">
        <v>106</v>
      </c>
      <c r="P4" s="158"/>
      <c r="Q4" s="158" t="s">
        <v>92</v>
      </c>
      <c r="R4" s="170"/>
      <c r="U4" s="138"/>
    </row>
    <row r="5" spans="2:26" ht="15" x14ac:dyDescent="0.25">
      <c r="B5" s="210" t="s">
        <v>15</v>
      </c>
      <c r="C5" s="211"/>
      <c r="D5" s="89"/>
      <c r="E5" s="167" t="s">
        <v>139</v>
      </c>
      <c r="F5" s="167"/>
      <c r="H5" s="126" t="s">
        <v>133</v>
      </c>
      <c r="I5" s="225">
        <v>21</v>
      </c>
      <c r="J5" s="226"/>
      <c r="K5" s="236"/>
      <c r="L5" s="237"/>
      <c r="M5" s="171">
        <v>8000</v>
      </c>
      <c r="N5" s="172"/>
      <c r="O5" s="163">
        <f>IFERROR(SUM(M7+M11+M9+M13+O7+O9+Q7+O13+O11+Q11),0)</f>
        <v>5560.666666666667</v>
      </c>
      <c r="P5" s="163"/>
      <c r="Q5" s="90">
        <f>M5-O5</f>
        <v>2439.333333333333</v>
      </c>
      <c r="R5" s="91" t="str">
        <f>IF(O5&gt;M5,"Rever","Com sobra")</f>
        <v>Com sobra</v>
      </c>
      <c r="T5" s="122"/>
      <c r="U5" s="138"/>
    </row>
    <row r="6" spans="2:26" ht="15.75" customHeight="1" x14ac:dyDescent="0.25">
      <c r="B6" s="176" t="s">
        <v>90</v>
      </c>
      <c r="C6" s="159"/>
      <c r="D6" s="89"/>
      <c r="E6" s="159" t="s">
        <v>110</v>
      </c>
      <c r="F6" s="159"/>
      <c r="H6" s="127" t="s">
        <v>122</v>
      </c>
      <c r="I6" s="159" t="s">
        <v>123</v>
      </c>
      <c r="J6" s="160"/>
      <c r="K6" s="236"/>
      <c r="L6" s="237"/>
      <c r="M6" s="214" t="s">
        <v>115</v>
      </c>
      <c r="N6" s="215"/>
      <c r="O6" s="159" t="s">
        <v>119</v>
      </c>
      <c r="P6" s="159"/>
      <c r="Q6" s="159" t="s">
        <v>89</v>
      </c>
      <c r="R6" s="160"/>
      <c r="T6" s="122"/>
      <c r="U6" s="138"/>
    </row>
    <row r="7" spans="2:26" ht="15.75" customHeight="1" x14ac:dyDescent="0.25">
      <c r="B7" s="220">
        <v>46034</v>
      </c>
      <c r="C7" s="167"/>
      <c r="D7" s="89"/>
      <c r="E7" s="204">
        <v>20</v>
      </c>
      <c r="F7" s="204"/>
      <c r="H7" s="124">
        <v>15000</v>
      </c>
      <c r="I7" s="204">
        <v>15000</v>
      </c>
      <c r="J7" s="205"/>
      <c r="K7" s="236"/>
      <c r="L7" s="237"/>
      <c r="M7" s="207">
        <v>0</v>
      </c>
      <c r="N7" s="208"/>
      <c r="O7" s="163">
        <f>T67</f>
        <v>2750</v>
      </c>
      <c r="P7" s="163"/>
      <c r="Q7" s="163">
        <f>U67</f>
        <v>1320</v>
      </c>
      <c r="R7" s="164"/>
      <c r="T7" s="122"/>
      <c r="U7" s="138"/>
    </row>
    <row r="8" spans="2:26" ht="15.75" customHeight="1" x14ac:dyDescent="0.25">
      <c r="B8" s="176" t="s">
        <v>93</v>
      </c>
      <c r="C8" s="159"/>
      <c r="D8" s="89"/>
      <c r="E8" s="159" t="s">
        <v>107</v>
      </c>
      <c r="F8" s="159"/>
      <c r="H8" s="176" t="s">
        <v>91</v>
      </c>
      <c r="I8" s="159"/>
      <c r="J8" s="160"/>
      <c r="K8" s="236"/>
      <c r="L8" s="237"/>
      <c r="M8" s="214" t="s">
        <v>116</v>
      </c>
      <c r="N8" s="215"/>
      <c r="O8" s="159" t="s">
        <v>120</v>
      </c>
      <c r="P8" s="159"/>
      <c r="Q8" s="159" t="s">
        <v>121</v>
      </c>
      <c r="R8" s="160"/>
      <c r="T8" s="122"/>
      <c r="U8" s="138"/>
    </row>
    <row r="9" spans="2:26" ht="15" x14ac:dyDescent="0.25">
      <c r="B9" s="216">
        <f>(B7+E7)-1</f>
        <v>46053</v>
      </c>
      <c r="C9" s="206"/>
      <c r="D9" s="89"/>
      <c r="E9" s="206">
        <f>C67</f>
        <v>46045</v>
      </c>
      <c r="F9" s="206"/>
      <c r="H9" s="129">
        <f>H7-J67</f>
        <v>12028</v>
      </c>
      <c r="I9" s="212">
        <f>I7-J67</f>
        <v>12028</v>
      </c>
      <c r="J9" s="213"/>
      <c r="K9" s="236"/>
      <c r="L9" s="237"/>
      <c r="M9" s="207">
        <v>500</v>
      </c>
      <c r="N9" s="208"/>
      <c r="O9" s="163">
        <f>O67</f>
        <v>990.66666666666674</v>
      </c>
      <c r="P9" s="163"/>
      <c r="Q9" s="161">
        <f>M67</f>
        <v>141.52380952380955</v>
      </c>
      <c r="R9" s="162"/>
      <c r="T9" s="122"/>
      <c r="U9" s="138"/>
    </row>
    <row r="10" spans="2:26" ht="15.75" customHeight="1" x14ac:dyDescent="0.25">
      <c r="B10" s="176" t="s">
        <v>96</v>
      </c>
      <c r="C10" s="159"/>
      <c r="D10" s="89"/>
      <c r="E10" s="159" t="s">
        <v>113</v>
      </c>
      <c r="F10" s="159"/>
      <c r="H10" s="127" t="s">
        <v>94</v>
      </c>
      <c r="I10" s="159" t="s">
        <v>108</v>
      </c>
      <c r="J10" s="160"/>
      <c r="K10" s="236"/>
      <c r="L10" s="237"/>
      <c r="M10" s="214" t="s">
        <v>117</v>
      </c>
      <c r="N10" s="215"/>
      <c r="O10" s="159" t="s">
        <v>105</v>
      </c>
      <c r="P10" s="165"/>
      <c r="Q10" s="159" t="s">
        <v>126</v>
      </c>
      <c r="R10" s="165"/>
      <c r="T10" s="122"/>
      <c r="U10" s="138"/>
    </row>
    <row r="11" spans="2:26" ht="15.75" customHeight="1" thickBot="1" x14ac:dyDescent="0.3">
      <c r="B11" s="227">
        <f>(E9-B7)+1</f>
        <v>12</v>
      </c>
      <c r="C11" s="202"/>
      <c r="D11" s="92"/>
      <c r="E11" s="196">
        <f>(E7-B11)</f>
        <v>8</v>
      </c>
      <c r="F11" s="196"/>
      <c r="H11" s="128">
        <f>J67</f>
        <v>2972</v>
      </c>
      <c r="I11" s="202">
        <f>LARGE(B17:B66,1)</f>
        <v>8</v>
      </c>
      <c r="J11" s="203"/>
      <c r="K11" s="238"/>
      <c r="L11" s="239"/>
      <c r="M11" s="174">
        <v>0</v>
      </c>
      <c r="N11" s="175"/>
      <c r="O11" s="163">
        <f>P67</f>
        <v>0</v>
      </c>
      <c r="P11" s="166"/>
      <c r="Q11" s="163">
        <f>V67</f>
        <v>0</v>
      </c>
      <c r="R11" s="166"/>
      <c r="T11" s="122"/>
      <c r="U11" s="138"/>
    </row>
    <row r="12" spans="2:26" ht="15" customHeight="1" thickBot="1" x14ac:dyDescent="0.3">
      <c r="K12" s="137"/>
      <c r="L12" s="136"/>
      <c r="M12" s="176" t="s">
        <v>118</v>
      </c>
      <c r="N12" s="159"/>
      <c r="O12" s="159" t="s">
        <v>87</v>
      </c>
      <c r="P12" s="165"/>
      <c r="Q12" s="93"/>
      <c r="T12" s="95"/>
      <c r="U12" s="96"/>
    </row>
    <row r="13" spans="2:26" ht="15" customHeight="1" thickTop="1" thickBot="1" x14ac:dyDescent="0.3">
      <c r="B13" s="223" t="s">
        <v>130</v>
      </c>
      <c r="C13" s="224"/>
      <c r="D13" s="224"/>
      <c r="E13" s="224"/>
      <c r="F13" s="224"/>
      <c r="G13" s="183"/>
      <c r="H13" s="184"/>
      <c r="I13" s="184"/>
      <c r="J13" s="184"/>
      <c r="K13" s="184"/>
      <c r="L13" s="185"/>
      <c r="M13" s="200">
        <v>0</v>
      </c>
      <c r="N13" s="201"/>
      <c r="O13" s="198">
        <f>W67</f>
        <v>0</v>
      </c>
      <c r="P13" s="199"/>
      <c r="Q13" s="97"/>
      <c r="Y13" s="94"/>
    </row>
    <row r="14" spans="2:26" ht="16.5" thickTop="1" thickBot="1" x14ac:dyDescent="0.3">
      <c r="Q14" s="98"/>
      <c r="R14" s="98"/>
      <c r="S14" s="98"/>
      <c r="T14" s="95"/>
      <c r="U14" s="96"/>
      <c r="V14" s="96"/>
      <c r="W14" s="96"/>
    </row>
    <row r="15" spans="2:26" ht="15" customHeight="1" x14ac:dyDescent="0.25">
      <c r="B15" s="186" t="s">
        <v>3</v>
      </c>
      <c r="C15" s="187"/>
      <c r="D15" s="187"/>
      <c r="E15" s="187"/>
      <c r="F15" s="187"/>
      <c r="G15" s="187"/>
      <c r="H15" s="187"/>
      <c r="I15" s="188"/>
      <c r="J15" s="168" t="s">
        <v>0</v>
      </c>
      <c r="K15" s="169"/>
      <c r="L15" s="123" t="s">
        <v>131</v>
      </c>
      <c r="M15" s="168" t="s">
        <v>2</v>
      </c>
      <c r="N15" s="187"/>
      <c r="O15" s="169"/>
      <c r="P15" s="82" t="s">
        <v>104</v>
      </c>
      <c r="Q15" s="240" t="s">
        <v>136</v>
      </c>
      <c r="R15" s="192" t="s">
        <v>1</v>
      </c>
      <c r="S15" s="191"/>
      <c r="T15" s="193"/>
      <c r="U15" s="168" t="s">
        <v>124</v>
      </c>
      <c r="V15" s="191"/>
      <c r="W15" s="169"/>
      <c r="X15" s="81" t="s">
        <v>7</v>
      </c>
      <c r="Y15" s="123" t="s">
        <v>127</v>
      </c>
      <c r="Z15" s="131"/>
    </row>
    <row r="16" spans="2:26" ht="15" x14ac:dyDescent="0.25">
      <c r="B16" s="64" t="s">
        <v>9</v>
      </c>
      <c r="C16" s="65" t="s">
        <v>10</v>
      </c>
      <c r="D16" s="65"/>
      <c r="E16" s="65" t="s">
        <v>111</v>
      </c>
      <c r="F16" s="194" t="s">
        <v>11</v>
      </c>
      <c r="G16" s="195"/>
      <c r="H16" s="65" t="s">
        <v>12</v>
      </c>
      <c r="I16" s="83" t="s">
        <v>95</v>
      </c>
      <c r="J16" s="84" t="s">
        <v>9</v>
      </c>
      <c r="K16" s="85" t="s">
        <v>5</v>
      </c>
      <c r="L16" s="121" t="s">
        <v>134</v>
      </c>
      <c r="M16" s="84" t="s">
        <v>13</v>
      </c>
      <c r="N16" s="65" t="s">
        <v>14</v>
      </c>
      <c r="O16" s="85" t="s">
        <v>4</v>
      </c>
      <c r="P16" s="86" t="s">
        <v>132</v>
      </c>
      <c r="Q16" s="241" t="s">
        <v>135</v>
      </c>
      <c r="R16" s="197" t="s">
        <v>6</v>
      </c>
      <c r="S16" s="197"/>
      <c r="T16" s="85" t="s">
        <v>4</v>
      </c>
      <c r="U16" s="84" t="s">
        <v>88</v>
      </c>
      <c r="V16" s="121" t="s">
        <v>125</v>
      </c>
      <c r="W16" s="85" t="s">
        <v>109</v>
      </c>
      <c r="X16" s="87" t="s">
        <v>8</v>
      </c>
      <c r="Y16" s="130" t="s">
        <v>128</v>
      </c>
      <c r="Z16" s="131"/>
    </row>
    <row r="17" spans="2:43" ht="15" x14ac:dyDescent="0.25">
      <c r="B17" s="139">
        <f>IF(E5="","",1)</f>
        <v>1</v>
      </c>
      <c r="C17" s="140">
        <f>IF(B7="","",B7)</f>
        <v>46034</v>
      </c>
      <c r="D17" s="141">
        <f>IF(C17="","",WEEKDAY(C17,2))</f>
        <v>1</v>
      </c>
      <c r="E17" s="141" t="str">
        <f>IF(D17=1,"Segunda",IF(D17=2,"Terça",IF(D17=3,"Quarta",IF(D17=4,"Quinta",IF(D17=5,"Sexta",IF(D17=6,"Sábado",IF(D17=7,"Domingo"," ")))))))</f>
        <v>Segunda</v>
      </c>
      <c r="F17" s="157" t="str">
        <f>IF(E5="","",E5)</f>
        <v>Joinville</v>
      </c>
      <c r="G17" s="157"/>
      <c r="H17" s="142" t="s">
        <v>141</v>
      </c>
      <c r="I17" s="143" t="s">
        <v>157</v>
      </c>
      <c r="J17" s="144">
        <v>513</v>
      </c>
      <c r="K17" s="145">
        <f>IF(B17&gt;0,J17," ")</f>
        <v>513</v>
      </c>
      <c r="L17" s="134" t="s">
        <v>142</v>
      </c>
      <c r="M17" s="146">
        <f>J17/$I$5</f>
        <v>24.428571428571427</v>
      </c>
      <c r="N17" s="147">
        <v>7</v>
      </c>
      <c r="O17" s="148">
        <f t="shared" ref="O17:O48" si="0">IF(B17&gt;0,N17*M17," ")</f>
        <v>171</v>
      </c>
      <c r="P17" s="149"/>
      <c r="Q17" s="144">
        <v>2</v>
      </c>
      <c r="R17" s="173"/>
      <c r="S17" s="173"/>
      <c r="T17" s="150">
        <v>500</v>
      </c>
      <c r="U17" s="151">
        <v>240</v>
      </c>
      <c r="V17" s="152"/>
      <c r="W17" s="150"/>
      <c r="X17" s="153">
        <f t="shared" ref="X17:X48" si="1">IF(B17&gt;0,T17+O17+U17+W17+P17," ")</f>
        <v>911</v>
      </c>
      <c r="Y17" s="154" t="s">
        <v>140</v>
      </c>
      <c r="Z17" s="132" t="s">
        <v>129</v>
      </c>
    </row>
    <row r="18" spans="2:43" ht="15" x14ac:dyDescent="0.25">
      <c r="B18" s="139">
        <f t="shared" ref="B18:B49" si="2">IF(Q17="",0,IF(Q17&gt;=0,B17+1))</f>
        <v>2</v>
      </c>
      <c r="C18" s="140">
        <f t="shared" ref="C18:C49" si="3">IF(Q17="",C17,IF(Q17=0,C17,IF(Q17&gt;0,C17+Q17)))</f>
        <v>46036</v>
      </c>
      <c r="D18" s="141">
        <f t="shared" ref="D18:D66" si="4">IF(C18="","",WEEKDAY(C18,2))</f>
        <v>3</v>
      </c>
      <c r="E18" s="140" t="str">
        <f>IF(D18=1,"Segunda",IF(D18=2,"Terça",IF(D18=3,"Quarta",IF(D18=4,"Quinta",IF(D18=5,"Sexta",IF(D18=6,"Sábado",IF(D18=7,"Domingo"," ")))))))</f>
        <v>Quarta</v>
      </c>
      <c r="F18" s="157" t="str">
        <f t="shared" ref="F18:F49" si="5">IF(B18&gt;0,H17," ")</f>
        <v>Quilombo</v>
      </c>
      <c r="G18" s="157"/>
      <c r="H18" s="142" t="s">
        <v>143</v>
      </c>
      <c r="I18" s="143" t="s">
        <v>158</v>
      </c>
      <c r="J18" s="144">
        <v>412</v>
      </c>
      <c r="K18" s="145">
        <f t="shared" ref="K18:K49" si="6">IF(B18&gt;0,J18+K17," ")</f>
        <v>925</v>
      </c>
      <c r="L18" s="134" t="s">
        <v>144</v>
      </c>
      <c r="M18" s="146">
        <f t="shared" ref="M18:M49" si="7">IF(B18&gt;0,J18/$I$5," ")</f>
        <v>19.61904761904762</v>
      </c>
      <c r="N18" s="147">
        <v>7</v>
      </c>
      <c r="O18" s="148">
        <f t="shared" si="0"/>
        <v>137.33333333333334</v>
      </c>
      <c r="P18" s="149"/>
      <c r="Q18" s="144">
        <v>2</v>
      </c>
      <c r="R18" s="173"/>
      <c r="S18" s="173"/>
      <c r="T18" s="150">
        <v>500</v>
      </c>
      <c r="U18" s="151">
        <v>120</v>
      </c>
      <c r="V18" s="152"/>
      <c r="W18" s="150"/>
      <c r="X18" s="153">
        <f t="shared" si="1"/>
        <v>757.33333333333337</v>
      </c>
      <c r="Y18" s="154" t="s">
        <v>145</v>
      </c>
      <c r="Z18" s="132" t="s">
        <v>129</v>
      </c>
    </row>
    <row r="19" spans="2:43" ht="25.5" x14ac:dyDescent="0.25">
      <c r="B19" s="139">
        <f t="shared" si="2"/>
        <v>3</v>
      </c>
      <c r="C19" s="140">
        <f t="shared" si="3"/>
        <v>46038</v>
      </c>
      <c r="D19" s="141">
        <f t="shared" si="4"/>
        <v>5</v>
      </c>
      <c r="E19" s="140" t="str">
        <f t="shared" ref="E19:E66" si="8">IF(D19=1,"Segunda",IF(D19=2,"Terça",IF(D19=3,"Quarta",IF(D19=4,"Quinta",IF(D19=5,"Sexta",IF(D19=6,"Sábado",IF(D19=7,"Domingo"," ")))))))</f>
        <v>Sexta</v>
      </c>
      <c r="F19" s="157" t="str">
        <f t="shared" si="5"/>
        <v>São Miguel das Missões</v>
      </c>
      <c r="G19" s="157"/>
      <c r="H19" s="142" t="s">
        <v>147</v>
      </c>
      <c r="I19" s="143" t="s">
        <v>148</v>
      </c>
      <c r="J19" s="144">
        <v>224</v>
      </c>
      <c r="K19" s="145">
        <f t="shared" si="6"/>
        <v>1149</v>
      </c>
      <c r="L19" s="134" t="s">
        <v>149</v>
      </c>
      <c r="M19" s="146">
        <f t="shared" si="7"/>
        <v>10.666666666666666</v>
      </c>
      <c r="N19" s="147">
        <v>7</v>
      </c>
      <c r="O19" s="148">
        <f t="shared" si="0"/>
        <v>74.666666666666657</v>
      </c>
      <c r="P19" s="149"/>
      <c r="Q19" s="144">
        <v>0</v>
      </c>
      <c r="R19" s="173"/>
      <c r="S19" s="173"/>
      <c r="T19" s="150">
        <v>0</v>
      </c>
      <c r="U19" s="151">
        <v>0</v>
      </c>
      <c r="V19" s="152"/>
      <c r="W19" s="150"/>
      <c r="X19" s="153">
        <f t="shared" si="1"/>
        <v>74.666666666666657</v>
      </c>
      <c r="Y19" s="154" t="s">
        <v>146</v>
      </c>
      <c r="Z19" s="132" t="s">
        <v>129</v>
      </c>
    </row>
    <row r="20" spans="2:43" ht="25.5" x14ac:dyDescent="0.25">
      <c r="B20" s="139">
        <f t="shared" si="2"/>
        <v>4</v>
      </c>
      <c r="C20" s="140">
        <f t="shared" si="3"/>
        <v>46038</v>
      </c>
      <c r="D20" s="141">
        <f t="shared" si="4"/>
        <v>5</v>
      </c>
      <c r="E20" s="140" t="str">
        <f t="shared" si="8"/>
        <v>Sexta</v>
      </c>
      <c r="F20" s="157" t="str">
        <f t="shared" si="5"/>
        <v>San Ignacio</v>
      </c>
      <c r="G20" s="157"/>
      <c r="H20" s="142" t="s">
        <v>151</v>
      </c>
      <c r="I20" s="143" t="s">
        <v>150</v>
      </c>
      <c r="J20" s="144">
        <v>70</v>
      </c>
      <c r="K20" s="145">
        <f t="shared" si="6"/>
        <v>1219</v>
      </c>
      <c r="L20" s="134" t="s">
        <v>152</v>
      </c>
      <c r="M20" s="146">
        <f t="shared" si="7"/>
        <v>3.3333333333333335</v>
      </c>
      <c r="N20" s="147">
        <v>7</v>
      </c>
      <c r="O20" s="148">
        <f t="shared" si="0"/>
        <v>23.333333333333336</v>
      </c>
      <c r="P20" s="149"/>
      <c r="Q20" s="144">
        <v>1</v>
      </c>
      <c r="R20" s="173"/>
      <c r="S20" s="173"/>
      <c r="T20" s="150">
        <v>250</v>
      </c>
      <c r="U20" s="151">
        <v>120</v>
      </c>
      <c r="V20" s="152"/>
      <c r="W20" s="150"/>
      <c r="X20" s="153">
        <f t="shared" si="1"/>
        <v>393.33333333333331</v>
      </c>
      <c r="Y20" s="154" t="s">
        <v>154</v>
      </c>
      <c r="Z20" s="132" t="s">
        <v>129</v>
      </c>
    </row>
    <row r="21" spans="2:43" ht="102" x14ac:dyDescent="0.25">
      <c r="B21" s="139">
        <f t="shared" si="2"/>
        <v>5</v>
      </c>
      <c r="C21" s="140">
        <f t="shared" si="3"/>
        <v>46039</v>
      </c>
      <c r="D21" s="141">
        <f t="shared" si="4"/>
        <v>6</v>
      </c>
      <c r="E21" s="140" t="str">
        <f t="shared" si="8"/>
        <v>Sábado</v>
      </c>
      <c r="F21" s="157" t="str">
        <f t="shared" si="5"/>
        <v>Encanacion</v>
      </c>
      <c r="G21" s="157"/>
      <c r="H21" s="142" t="s">
        <v>151</v>
      </c>
      <c r="I21" s="143" t="s">
        <v>150</v>
      </c>
      <c r="J21" s="144">
        <v>85</v>
      </c>
      <c r="K21" s="145">
        <f t="shared" si="6"/>
        <v>1304</v>
      </c>
      <c r="L21" s="134" t="s">
        <v>167</v>
      </c>
      <c r="M21" s="146">
        <f t="shared" si="7"/>
        <v>4.0476190476190474</v>
      </c>
      <c r="N21" s="147">
        <v>7</v>
      </c>
      <c r="O21" s="148">
        <f t="shared" si="0"/>
        <v>28.333333333333332</v>
      </c>
      <c r="P21" s="149"/>
      <c r="Q21" s="144">
        <v>2</v>
      </c>
      <c r="R21" s="173"/>
      <c r="S21" s="173"/>
      <c r="T21" s="150">
        <v>500</v>
      </c>
      <c r="U21" s="151">
        <v>240</v>
      </c>
      <c r="V21" s="152"/>
      <c r="W21" s="150"/>
      <c r="X21" s="153">
        <f t="shared" si="1"/>
        <v>768.33333333333337</v>
      </c>
      <c r="Y21" s="154" t="s">
        <v>153</v>
      </c>
      <c r="Z21" s="132" t="s">
        <v>129</v>
      </c>
    </row>
    <row r="22" spans="2:43" ht="63.75" x14ac:dyDescent="0.25">
      <c r="B22" s="139">
        <f t="shared" si="2"/>
        <v>6</v>
      </c>
      <c r="C22" s="140">
        <f t="shared" si="3"/>
        <v>46041</v>
      </c>
      <c r="D22" s="141">
        <f t="shared" si="4"/>
        <v>1</v>
      </c>
      <c r="E22" s="140" t="str">
        <f t="shared" si="8"/>
        <v>Segunda</v>
      </c>
      <c r="F22" s="157" t="str">
        <f t="shared" si="5"/>
        <v>Encanacion</v>
      </c>
      <c r="G22" s="157"/>
      <c r="H22" s="142" t="s">
        <v>156</v>
      </c>
      <c r="I22" s="143" t="s">
        <v>150</v>
      </c>
      <c r="J22" s="144">
        <v>430</v>
      </c>
      <c r="K22" s="145">
        <f t="shared" si="6"/>
        <v>1734</v>
      </c>
      <c r="L22" s="134" t="s">
        <v>166</v>
      </c>
      <c r="M22" s="146">
        <f t="shared" si="7"/>
        <v>20.476190476190474</v>
      </c>
      <c r="N22" s="147">
        <v>7</v>
      </c>
      <c r="O22" s="148">
        <f t="shared" si="0"/>
        <v>143.33333333333331</v>
      </c>
      <c r="P22" s="149"/>
      <c r="Q22" s="144">
        <v>3</v>
      </c>
      <c r="R22" s="173"/>
      <c r="S22" s="173"/>
      <c r="T22" s="150">
        <v>750</v>
      </c>
      <c r="U22" s="151">
        <v>360</v>
      </c>
      <c r="V22" s="152"/>
      <c r="W22" s="150"/>
      <c r="X22" s="153">
        <f t="shared" si="1"/>
        <v>1253.3333333333333</v>
      </c>
      <c r="Y22" s="154" t="s">
        <v>155</v>
      </c>
      <c r="Z22" s="132" t="s">
        <v>129</v>
      </c>
    </row>
    <row r="23" spans="2:43" ht="63.75" x14ac:dyDescent="0.25">
      <c r="B23" s="139">
        <f t="shared" si="2"/>
        <v>7</v>
      </c>
      <c r="C23" s="140">
        <f t="shared" si="3"/>
        <v>46044</v>
      </c>
      <c r="D23" s="141">
        <f t="shared" si="4"/>
        <v>4</v>
      </c>
      <c r="E23" s="140" t="str">
        <f t="shared" si="8"/>
        <v>Quinta</v>
      </c>
      <c r="F23" s="157" t="str">
        <f t="shared" si="5"/>
        <v>Assunção</v>
      </c>
      <c r="G23" s="157"/>
      <c r="H23" s="142" t="s">
        <v>161</v>
      </c>
      <c r="I23" s="143" t="s">
        <v>159</v>
      </c>
      <c r="J23" s="144">
        <v>455</v>
      </c>
      <c r="K23" s="145">
        <f t="shared" si="6"/>
        <v>2189</v>
      </c>
      <c r="L23" s="134" t="s">
        <v>162</v>
      </c>
      <c r="M23" s="146">
        <f t="shared" si="7"/>
        <v>21.666666666666668</v>
      </c>
      <c r="N23" s="147">
        <v>7</v>
      </c>
      <c r="O23" s="148">
        <f t="shared" si="0"/>
        <v>151.66666666666669</v>
      </c>
      <c r="P23" s="149"/>
      <c r="Q23" s="144">
        <v>1</v>
      </c>
      <c r="R23" s="173"/>
      <c r="S23" s="173"/>
      <c r="T23" s="150">
        <v>250</v>
      </c>
      <c r="U23" s="151">
        <v>120</v>
      </c>
      <c r="V23" s="152"/>
      <c r="W23" s="150"/>
      <c r="X23" s="153">
        <f t="shared" si="1"/>
        <v>521.66666666666674</v>
      </c>
      <c r="Y23" s="154" t="s">
        <v>163</v>
      </c>
      <c r="Z23" s="132" t="s">
        <v>129</v>
      </c>
    </row>
    <row r="24" spans="2:43" ht="89.25" x14ac:dyDescent="0.25">
      <c r="B24" s="139">
        <f t="shared" si="2"/>
        <v>8</v>
      </c>
      <c r="C24" s="140">
        <f t="shared" si="3"/>
        <v>46045</v>
      </c>
      <c r="D24" s="141">
        <f t="shared" si="4"/>
        <v>5</v>
      </c>
      <c r="E24" s="140" t="str">
        <f t="shared" si="8"/>
        <v>Sexta</v>
      </c>
      <c r="F24" s="157" t="str">
        <f t="shared" si="5"/>
        <v>Guaira</v>
      </c>
      <c r="G24" s="157"/>
      <c r="H24" s="142" t="s">
        <v>139</v>
      </c>
      <c r="I24" s="143" t="s">
        <v>157</v>
      </c>
      <c r="J24" s="144">
        <v>783</v>
      </c>
      <c r="K24" s="145">
        <f t="shared" si="6"/>
        <v>2972</v>
      </c>
      <c r="L24" s="134" t="s">
        <v>165</v>
      </c>
      <c r="M24" s="146">
        <f t="shared" si="7"/>
        <v>37.285714285714285</v>
      </c>
      <c r="N24" s="147">
        <v>7</v>
      </c>
      <c r="O24" s="148">
        <f t="shared" si="0"/>
        <v>261</v>
      </c>
      <c r="P24" s="149"/>
      <c r="Q24" s="144"/>
      <c r="R24" s="173"/>
      <c r="S24" s="173"/>
      <c r="T24" s="150"/>
      <c r="U24" s="151">
        <v>120</v>
      </c>
      <c r="V24" s="152"/>
      <c r="W24" s="150"/>
      <c r="X24" s="153">
        <f t="shared" si="1"/>
        <v>381</v>
      </c>
      <c r="Y24" s="154" t="s">
        <v>164</v>
      </c>
      <c r="Z24" s="132" t="s">
        <v>129</v>
      </c>
    </row>
    <row r="25" spans="2:43" ht="15" x14ac:dyDescent="0.25">
      <c r="B25" s="139">
        <f t="shared" si="2"/>
        <v>0</v>
      </c>
      <c r="C25" s="140">
        <f t="shared" si="3"/>
        <v>46045</v>
      </c>
      <c r="D25" s="141">
        <f t="shared" si="4"/>
        <v>5</v>
      </c>
      <c r="E25" s="140" t="str">
        <f t="shared" si="8"/>
        <v>Sexta</v>
      </c>
      <c r="F25" s="157" t="str">
        <f t="shared" si="5"/>
        <v xml:space="preserve"> </v>
      </c>
      <c r="G25" s="157"/>
      <c r="H25" s="142"/>
      <c r="I25" s="143"/>
      <c r="J25" s="144"/>
      <c r="K25" s="145" t="str">
        <f t="shared" si="6"/>
        <v xml:space="preserve"> </v>
      </c>
      <c r="L25" s="134"/>
      <c r="M25" s="146" t="str">
        <f t="shared" si="7"/>
        <v xml:space="preserve"> </v>
      </c>
      <c r="N25" s="147"/>
      <c r="O25" s="148" t="str">
        <f t="shared" si="0"/>
        <v xml:space="preserve"> </v>
      </c>
      <c r="P25" s="149"/>
      <c r="Q25" s="144"/>
      <c r="R25" s="173"/>
      <c r="S25" s="173"/>
      <c r="T25" s="150"/>
      <c r="U25" s="151"/>
      <c r="V25" s="152"/>
      <c r="W25" s="150"/>
      <c r="X25" s="153" t="str">
        <f t="shared" si="1"/>
        <v xml:space="preserve"> </v>
      </c>
      <c r="Y25" s="154"/>
      <c r="Z25" s="132" t="s">
        <v>129</v>
      </c>
    </row>
    <row r="26" spans="2:43" ht="15" x14ac:dyDescent="0.25">
      <c r="B26" s="139">
        <f t="shared" si="2"/>
        <v>0</v>
      </c>
      <c r="C26" s="140">
        <f t="shared" si="3"/>
        <v>46045</v>
      </c>
      <c r="D26" s="141">
        <f t="shared" si="4"/>
        <v>5</v>
      </c>
      <c r="E26" s="140" t="str">
        <f t="shared" si="8"/>
        <v>Sexta</v>
      </c>
      <c r="F26" s="157" t="str">
        <f t="shared" si="5"/>
        <v xml:space="preserve"> </v>
      </c>
      <c r="G26" s="157"/>
      <c r="H26" s="142"/>
      <c r="I26" s="143"/>
      <c r="J26" s="144"/>
      <c r="K26" s="145" t="str">
        <f t="shared" si="6"/>
        <v xml:space="preserve"> </v>
      </c>
      <c r="L26" s="134"/>
      <c r="M26" s="146" t="str">
        <f t="shared" si="7"/>
        <v xml:space="preserve"> </v>
      </c>
      <c r="N26" s="147"/>
      <c r="O26" s="148" t="str">
        <f t="shared" si="0"/>
        <v xml:space="preserve"> </v>
      </c>
      <c r="P26" s="149"/>
      <c r="Q26" s="144"/>
      <c r="R26" s="173"/>
      <c r="S26" s="173"/>
      <c r="T26" s="150"/>
      <c r="U26" s="151"/>
      <c r="V26" s="152"/>
      <c r="W26" s="150"/>
      <c r="X26" s="153" t="str">
        <f t="shared" si="1"/>
        <v xml:space="preserve"> </v>
      </c>
      <c r="Y26" s="154"/>
      <c r="Z26" s="132" t="s">
        <v>129</v>
      </c>
    </row>
    <row r="27" spans="2:43" ht="15" x14ac:dyDescent="0.25">
      <c r="B27" s="139">
        <f t="shared" si="2"/>
        <v>0</v>
      </c>
      <c r="C27" s="140">
        <f t="shared" si="3"/>
        <v>46045</v>
      </c>
      <c r="D27" s="141">
        <f t="shared" si="4"/>
        <v>5</v>
      </c>
      <c r="E27" s="140" t="str">
        <f t="shared" si="8"/>
        <v>Sexta</v>
      </c>
      <c r="F27" s="157" t="str">
        <f t="shared" si="5"/>
        <v xml:space="preserve"> </v>
      </c>
      <c r="G27" s="157"/>
      <c r="H27" s="142"/>
      <c r="I27" s="143"/>
      <c r="J27" s="144"/>
      <c r="K27" s="145" t="str">
        <f t="shared" si="6"/>
        <v xml:space="preserve"> </v>
      </c>
      <c r="L27" s="134"/>
      <c r="M27" s="146" t="str">
        <f t="shared" si="7"/>
        <v xml:space="preserve"> </v>
      </c>
      <c r="N27" s="147"/>
      <c r="O27" s="148" t="str">
        <f t="shared" si="0"/>
        <v xml:space="preserve"> </v>
      </c>
      <c r="P27" s="149"/>
      <c r="Q27" s="144"/>
      <c r="R27" s="173"/>
      <c r="S27" s="173"/>
      <c r="T27" s="150"/>
      <c r="U27" s="151"/>
      <c r="V27" s="152"/>
      <c r="W27" s="150"/>
      <c r="X27" s="153" t="str">
        <f t="shared" si="1"/>
        <v xml:space="preserve"> </v>
      </c>
      <c r="Y27" s="154"/>
      <c r="Z27" s="132" t="s">
        <v>129</v>
      </c>
    </row>
    <row r="28" spans="2:43" ht="15" x14ac:dyDescent="0.25">
      <c r="B28" s="139">
        <f t="shared" si="2"/>
        <v>0</v>
      </c>
      <c r="C28" s="140">
        <f t="shared" si="3"/>
        <v>46045</v>
      </c>
      <c r="D28" s="141">
        <f t="shared" si="4"/>
        <v>5</v>
      </c>
      <c r="E28" s="140" t="str">
        <f t="shared" si="8"/>
        <v>Sexta</v>
      </c>
      <c r="F28" s="157" t="str">
        <f t="shared" si="5"/>
        <v xml:space="preserve"> </v>
      </c>
      <c r="G28" s="157"/>
      <c r="H28" s="142"/>
      <c r="I28" s="143"/>
      <c r="J28" s="144"/>
      <c r="K28" s="145" t="str">
        <f t="shared" si="6"/>
        <v xml:space="preserve"> </v>
      </c>
      <c r="L28" s="134"/>
      <c r="M28" s="146" t="str">
        <f t="shared" si="7"/>
        <v xml:space="preserve"> </v>
      </c>
      <c r="N28" s="147"/>
      <c r="O28" s="148" t="str">
        <f t="shared" si="0"/>
        <v xml:space="preserve"> </v>
      </c>
      <c r="P28" s="149"/>
      <c r="Q28" s="144"/>
      <c r="R28" s="173"/>
      <c r="S28" s="173"/>
      <c r="T28" s="150"/>
      <c r="U28" s="151"/>
      <c r="V28" s="152"/>
      <c r="W28" s="150"/>
      <c r="X28" s="153" t="str">
        <f t="shared" si="1"/>
        <v xml:space="preserve"> </v>
      </c>
      <c r="Y28" s="154"/>
      <c r="Z28" s="132" t="s">
        <v>129</v>
      </c>
      <c r="AQ28" s="99"/>
    </row>
    <row r="29" spans="2:43" ht="15" x14ac:dyDescent="0.25">
      <c r="B29" s="139">
        <f t="shared" si="2"/>
        <v>0</v>
      </c>
      <c r="C29" s="140">
        <f t="shared" si="3"/>
        <v>46045</v>
      </c>
      <c r="D29" s="141">
        <f t="shared" si="4"/>
        <v>5</v>
      </c>
      <c r="E29" s="140" t="str">
        <f t="shared" si="8"/>
        <v>Sexta</v>
      </c>
      <c r="F29" s="157" t="str">
        <f t="shared" si="5"/>
        <v xml:space="preserve"> </v>
      </c>
      <c r="G29" s="157"/>
      <c r="H29" s="155"/>
      <c r="I29" s="143"/>
      <c r="J29" s="144"/>
      <c r="K29" s="145" t="str">
        <f t="shared" si="6"/>
        <v xml:space="preserve"> </v>
      </c>
      <c r="L29" s="134"/>
      <c r="M29" s="146" t="str">
        <f t="shared" si="7"/>
        <v xml:space="preserve"> </v>
      </c>
      <c r="N29" s="147"/>
      <c r="O29" s="148" t="str">
        <f t="shared" si="0"/>
        <v xml:space="preserve"> </v>
      </c>
      <c r="P29" s="149"/>
      <c r="Q29" s="144"/>
      <c r="R29" s="173"/>
      <c r="S29" s="173"/>
      <c r="T29" s="150"/>
      <c r="U29" s="151"/>
      <c r="V29" s="152"/>
      <c r="W29" s="150"/>
      <c r="X29" s="153" t="str">
        <f t="shared" si="1"/>
        <v xml:space="preserve"> </v>
      </c>
      <c r="Y29" s="154"/>
      <c r="Z29" s="132" t="s">
        <v>129</v>
      </c>
    </row>
    <row r="30" spans="2:43" ht="15" x14ac:dyDescent="0.25">
      <c r="B30" s="139">
        <f t="shared" si="2"/>
        <v>0</v>
      </c>
      <c r="C30" s="140">
        <f t="shared" si="3"/>
        <v>46045</v>
      </c>
      <c r="D30" s="141">
        <f t="shared" si="4"/>
        <v>5</v>
      </c>
      <c r="E30" s="140" t="str">
        <f t="shared" si="8"/>
        <v>Sexta</v>
      </c>
      <c r="F30" s="157" t="str">
        <f t="shared" si="5"/>
        <v xml:space="preserve"> </v>
      </c>
      <c r="G30" s="157"/>
      <c r="H30" s="142"/>
      <c r="I30" s="143"/>
      <c r="J30" s="144"/>
      <c r="K30" s="145" t="str">
        <f t="shared" si="6"/>
        <v xml:space="preserve"> </v>
      </c>
      <c r="L30" s="134"/>
      <c r="M30" s="146" t="str">
        <f t="shared" si="7"/>
        <v xml:space="preserve"> </v>
      </c>
      <c r="N30" s="147"/>
      <c r="O30" s="148" t="str">
        <f t="shared" si="0"/>
        <v xml:space="preserve"> </v>
      </c>
      <c r="P30" s="149"/>
      <c r="Q30" s="144"/>
      <c r="R30" s="173"/>
      <c r="S30" s="173"/>
      <c r="T30" s="150"/>
      <c r="U30" s="151"/>
      <c r="V30" s="152"/>
      <c r="W30" s="150"/>
      <c r="X30" s="153" t="str">
        <f t="shared" si="1"/>
        <v xml:space="preserve"> </v>
      </c>
      <c r="Y30" s="154"/>
      <c r="Z30" s="132" t="s">
        <v>129</v>
      </c>
    </row>
    <row r="31" spans="2:43" ht="15" x14ac:dyDescent="0.25">
      <c r="B31" s="139">
        <f t="shared" si="2"/>
        <v>0</v>
      </c>
      <c r="C31" s="140">
        <f t="shared" si="3"/>
        <v>46045</v>
      </c>
      <c r="D31" s="141">
        <f t="shared" si="4"/>
        <v>5</v>
      </c>
      <c r="E31" s="140" t="str">
        <f t="shared" si="8"/>
        <v>Sexta</v>
      </c>
      <c r="F31" s="157" t="str">
        <f t="shared" si="5"/>
        <v xml:space="preserve"> </v>
      </c>
      <c r="G31" s="157"/>
      <c r="H31" s="142"/>
      <c r="I31" s="143"/>
      <c r="J31" s="144"/>
      <c r="K31" s="145" t="str">
        <f t="shared" si="6"/>
        <v xml:space="preserve"> </v>
      </c>
      <c r="L31" s="134"/>
      <c r="M31" s="146" t="str">
        <f t="shared" si="7"/>
        <v xml:space="preserve"> </v>
      </c>
      <c r="N31" s="147"/>
      <c r="O31" s="148" t="str">
        <f t="shared" si="0"/>
        <v xml:space="preserve"> </v>
      </c>
      <c r="P31" s="149"/>
      <c r="Q31" s="144"/>
      <c r="R31" s="173"/>
      <c r="S31" s="173"/>
      <c r="T31" s="150"/>
      <c r="U31" s="151"/>
      <c r="V31" s="152"/>
      <c r="W31" s="150"/>
      <c r="X31" s="153" t="str">
        <f t="shared" si="1"/>
        <v xml:space="preserve"> </v>
      </c>
      <c r="Y31" s="154"/>
      <c r="Z31" s="132" t="s">
        <v>129</v>
      </c>
    </row>
    <row r="32" spans="2:43" ht="15" x14ac:dyDescent="0.25">
      <c r="B32" s="139">
        <f t="shared" si="2"/>
        <v>0</v>
      </c>
      <c r="C32" s="140">
        <f t="shared" si="3"/>
        <v>46045</v>
      </c>
      <c r="D32" s="141">
        <f t="shared" si="4"/>
        <v>5</v>
      </c>
      <c r="E32" s="140" t="str">
        <f t="shared" si="8"/>
        <v>Sexta</v>
      </c>
      <c r="F32" s="157" t="str">
        <f t="shared" si="5"/>
        <v xml:space="preserve"> </v>
      </c>
      <c r="G32" s="157"/>
      <c r="H32" s="142"/>
      <c r="I32" s="143"/>
      <c r="J32" s="144"/>
      <c r="K32" s="145" t="str">
        <f t="shared" si="6"/>
        <v xml:space="preserve"> </v>
      </c>
      <c r="L32" s="134"/>
      <c r="M32" s="146" t="str">
        <f t="shared" si="7"/>
        <v xml:space="preserve"> </v>
      </c>
      <c r="N32" s="147"/>
      <c r="O32" s="148" t="str">
        <f t="shared" si="0"/>
        <v xml:space="preserve"> </v>
      </c>
      <c r="P32" s="149"/>
      <c r="Q32" s="144"/>
      <c r="R32" s="173"/>
      <c r="S32" s="173"/>
      <c r="T32" s="150"/>
      <c r="U32" s="151"/>
      <c r="V32" s="152"/>
      <c r="W32" s="150"/>
      <c r="X32" s="153" t="str">
        <f t="shared" si="1"/>
        <v xml:space="preserve"> </v>
      </c>
      <c r="Y32" s="154"/>
      <c r="Z32" s="132" t="s">
        <v>129</v>
      </c>
    </row>
    <row r="33" spans="2:26" ht="15" x14ac:dyDescent="0.25">
      <c r="B33" s="139">
        <f t="shared" si="2"/>
        <v>0</v>
      </c>
      <c r="C33" s="140">
        <f t="shared" si="3"/>
        <v>46045</v>
      </c>
      <c r="D33" s="141">
        <f t="shared" si="4"/>
        <v>5</v>
      </c>
      <c r="E33" s="140" t="str">
        <f t="shared" si="8"/>
        <v>Sexta</v>
      </c>
      <c r="F33" s="157" t="str">
        <f t="shared" si="5"/>
        <v xml:space="preserve"> </v>
      </c>
      <c r="G33" s="157"/>
      <c r="H33" s="142"/>
      <c r="I33" s="143"/>
      <c r="J33" s="144"/>
      <c r="K33" s="145" t="str">
        <f t="shared" si="6"/>
        <v xml:space="preserve"> </v>
      </c>
      <c r="L33" s="134"/>
      <c r="M33" s="146" t="str">
        <f t="shared" si="7"/>
        <v xml:space="preserve"> </v>
      </c>
      <c r="N33" s="147"/>
      <c r="O33" s="148" t="str">
        <f t="shared" si="0"/>
        <v xml:space="preserve"> </v>
      </c>
      <c r="P33" s="149"/>
      <c r="Q33" s="144"/>
      <c r="R33" s="173"/>
      <c r="S33" s="173"/>
      <c r="T33" s="150"/>
      <c r="U33" s="151"/>
      <c r="V33" s="152"/>
      <c r="W33" s="150"/>
      <c r="X33" s="153" t="str">
        <f t="shared" si="1"/>
        <v xml:space="preserve"> </v>
      </c>
      <c r="Y33" s="154"/>
      <c r="Z33" s="132" t="s">
        <v>129</v>
      </c>
    </row>
    <row r="34" spans="2:26" ht="15" x14ac:dyDescent="0.25">
      <c r="B34" s="139">
        <f t="shared" si="2"/>
        <v>0</v>
      </c>
      <c r="C34" s="140">
        <f t="shared" si="3"/>
        <v>46045</v>
      </c>
      <c r="D34" s="141">
        <f t="shared" si="4"/>
        <v>5</v>
      </c>
      <c r="E34" s="140" t="str">
        <f t="shared" si="8"/>
        <v>Sexta</v>
      </c>
      <c r="F34" s="157" t="str">
        <f t="shared" si="5"/>
        <v xml:space="preserve"> </v>
      </c>
      <c r="G34" s="157"/>
      <c r="H34" s="156"/>
      <c r="I34" s="143"/>
      <c r="J34" s="144"/>
      <c r="K34" s="145" t="str">
        <f t="shared" si="6"/>
        <v xml:space="preserve"> </v>
      </c>
      <c r="L34" s="134"/>
      <c r="M34" s="146" t="str">
        <f t="shared" si="7"/>
        <v xml:space="preserve"> </v>
      </c>
      <c r="N34" s="147"/>
      <c r="O34" s="148" t="str">
        <f t="shared" si="0"/>
        <v xml:space="preserve"> </v>
      </c>
      <c r="P34" s="149"/>
      <c r="Q34" s="144"/>
      <c r="R34" s="173"/>
      <c r="S34" s="173"/>
      <c r="T34" s="150"/>
      <c r="U34" s="151"/>
      <c r="V34" s="152"/>
      <c r="W34" s="150"/>
      <c r="X34" s="153" t="str">
        <f t="shared" si="1"/>
        <v xml:space="preserve"> </v>
      </c>
      <c r="Y34" s="154"/>
      <c r="Z34" s="132" t="s">
        <v>129</v>
      </c>
    </row>
    <row r="35" spans="2:26" ht="15" x14ac:dyDescent="0.25">
      <c r="B35" s="139">
        <f t="shared" si="2"/>
        <v>0</v>
      </c>
      <c r="C35" s="140">
        <f t="shared" si="3"/>
        <v>46045</v>
      </c>
      <c r="D35" s="141">
        <f t="shared" si="4"/>
        <v>5</v>
      </c>
      <c r="E35" s="140" t="str">
        <f t="shared" si="8"/>
        <v>Sexta</v>
      </c>
      <c r="F35" s="157" t="str">
        <f t="shared" si="5"/>
        <v xml:space="preserve"> </v>
      </c>
      <c r="G35" s="157"/>
      <c r="H35" s="156"/>
      <c r="I35" s="143"/>
      <c r="J35" s="144"/>
      <c r="K35" s="145" t="str">
        <f t="shared" si="6"/>
        <v xml:space="preserve"> </v>
      </c>
      <c r="L35" s="134"/>
      <c r="M35" s="146" t="str">
        <f t="shared" si="7"/>
        <v xml:space="preserve"> </v>
      </c>
      <c r="N35" s="147"/>
      <c r="O35" s="148" t="str">
        <f t="shared" si="0"/>
        <v xml:space="preserve"> </v>
      </c>
      <c r="P35" s="149"/>
      <c r="Q35" s="144"/>
      <c r="R35" s="173"/>
      <c r="S35" s="173"/>
      <c r="T35" s="150"/>
      <c r="U35" s="151"/>
      <c r="V35" s="152"/>
      <c r="W35" s="150"/>
      <c r="X35" s="153" t="str">
        <f t="shared" si="1"/>
        <v xml:space="preserve"> </v>
      </c>
      <c r="Y35" s="154"/>
      <c r="Z35" s="132" t="s">
        <v>129</v>
      </c>
    </row>
    <row r="36" spans="2:26" ht="15" x14ac:dyDescent="0.25">
      <c r="B36" s="139">
        <f t="shared" si="2"/>
        <v>0</v>
      </c>
      <c r="C36" s="140">
        <f t="shared" si="3"/>
        <v>46045</v>
      </c>
      <c r="D36" s="141">
        <f t="shared" si="4"/>
        <v>5</v>
      </c>
      <c r="E36" s="140" t="str">
        <f t="shared" si="8"/>
        <v>Sexta</v>
      </c>
      <c r="F36" s="157" t="str">
        <f t="shared" si="5"/>
        <v xml:space="preserve"> </v>
      </c>
      <c r="G36" s="157"/>
      <c r="H36" s="156"/>
      <c r="I36" s="143"/>
      <c r="J36" s="144"/>
      <c r="K36" s="145" t="str">
        <f t="shared" si="6"/>
        <v xml:space="preserve"> </v>
      </c>
      <c r="L36" s="134"/>
      <c r="M36" s="146" t="str">
        <f t="shared" si="7"/>
        <v xml:space="preserve"> </v>
      </c>
      <c r="N36" s="147"/>
      <c r="O36" s="148" t="str">
        <f t="shared" si="0"/>
        <v xml:space="preserve"> </v>
      </c>
      <c r="P36" s="149"/>
      <c r="Q36" s="144"/>
      <c r="R36" s="173"/>
      <c r="S36" s="173"/>
      <c r="T36" s="150"/>
      <c r="U36" s="151"/>
      <c r="V36" s="152"/>
      <c r="W36" s="150"/>
      <c r="X36" s="153" t="str">
        <f t="shared" si="1"/>
        <v xml:space="preserve"> </v>
      </c>
      <c r="Y36" s="154"/>
      <c r="Z36" s="132" t="s">
        <v>129</v>
      </c>
    </row>
    <row r="37" spans="2:26" ht="15" x14ac:dyDescent="0.25">
      <c r="B37" s="139">
        <f t="shared" si="2"/>
        <v>0</v>
      </c>
      <c r="C37" s="140">
        <f t="shared" si="3"/>
        <v>46045</v>
      </c>
      <c r="D37" s="141">
        <f t="shared" ref="D37:D56" si="9">IF(C37="","",WEEKDAY(C37,2))</f>
        <v>5</v>
      </c>
      <c r="E37" s="140" t="str">
        <f t="shared" ref="E37:E56" si="10">IF(D37=1,"Segunda",IF(D37=2,"Terça",IF(D37=3,"Quarta",IF(D37=4,"Quinta",IF(D37=5,"Sexta",IF(D37=6,"Sábado",IF(D37=7,"Domingo"," ")))))))</f>
        <v>Sexta</v>
      </c>
      <c r="F37" s="157" t="str">
        <f t="shared" si="5"/>
        <v xml:space="preserve"> </v>
      </c>
      <c r="G37" s="157"/>
      <c r="H37" s="156"/>
      <c r="I37" s="143"/>
      <c r="J37" s="144"/>
      <c r="K37" s="145" t="str">
        <f t="shared" si="6"/>
        <v xml:space="preserve"> </v>
      </c>
      <c r="L37" s="134"/>
      <c r="M37" s="146" t="str">
        <f t="shared" si="7"/>
        <v xml:space="preserve"> </v>
      </c>
      <c r="N37" s="147"/>
      <c r="O37" s="148" t="str">
        <f t="shared" si="0"/>
        <v xml:space="preserve"> </v>
      </c>
      <c r="P37" s="149"/>
      <c r="Q37" s="144"/>
      <c r="R37" s="173"/>
      <c r="S37" s="173"/>
      <c r="T37" s="150"/>
      <c r="U37" s="151"/>
      <c r="V37" s="152"/>
      <c r="W37" s="150"/>
      <c r="X37" s="153" t="str">
        <f t="shared" si="1"/>
        <v xml:space="preserve"> </v>
      </c>
      <c r="Y37" s="154"/>
      <c r="Z37" s="132" t="s">
        <v>129</v>
      </c>
    </row>
    <row r="38" spans="2:26" ht="15" x14ac:dyDescent="0.25">
      <c r="B38" s="139">
        <f t="shared" si="2"/>
        <v>0</v>
      </c>
      <c r="C38" s="140">
        <f t="shared" si="3"/>
        <v>46045</v>
      </c>
      <c r="D38" s="141">
        <f t="shared" si="9"/>
        <v>5</v>
      </c>
      <c r="E38" s="140" t="str">
        <f t="shared" si="10"/>
        <v>Sexta</v>
      </c>
      <c r="F38" s="157" t="str">
        <f t="shared" si="5"/>
        <v xml:space="preserve"> </v>
      </c>
      <c r="G38" s="157"/>
      <c r="H38" s="156"/>
      <c r="I38" s="143"/>
      <c r="J38" s="144"/>
      <c r="K38" s="145" t="str">
        <f t="shared" si="6"/>
        <v xml:space="preserve"> </v>
      </c>
      <c r="L38" s="134"/>
      <c r="M38" s="146" t="str">
        <f t="shared" si="7"/>
        <v xml:space="preserve"> </v>
      </c>
      <c r="N38" s="147"/>
      <c r="O38" s="148" t="str">
        <f t="shared" si="0"/>
        <v xml:space="preserve"> </v>
      </c>
      <c r="P38" s="149"/>
      <c r="Q38" s="144"/>
      <c r="R38" s="173"/>
      <c r="S38" s="173"/>
      <c r="T38" s="150"/>
      <c r="U38" s="151"/>
      <c r="V38" s="152"/>
      <c r="W38" s="150"/>
      <c r="X38" s="153" t="str">
        <f t="shared" si="1"/>
        <v xml:space="preserve"> </v>
      </c>
      <c r="Y38" s="154"/>
      <c r="Z38" s="132" t="s">
        <v>129</v>
      </c>
    </row>
    <row r="39" spans="2:26" ht="15" x14ac:dyDescent="0.25">
      <c r="B39" s="139">
        <f t="shared" si="2"/>
        <v>0</v>
      </c>
      <c r="C39" s="140">
        <f t="shared" si="3"/>
        <v>46045</v>
      </c>
      <c r="D39" s="141">
        <f t="shared" si="9"/>
        <v>5</v>
      </c>
      <c r="E39" s="140" t="str">
        <f t="shared" si="10"/>
        <v>Sexta</v>
      </c>
      <c r="F39" s="157" t="str">
        <f t="shared" si="5"/>
        <v xml:space="preserve"> </v>
      </c>
      <c r="G39" s="157"/>
      <c r="H39" s="156"/>
      <c r="I39" s="143"/>
      <c r="J39" s="144"/>
      <c r="K39" s="145" t="str">
        <f t="shared" si="6"/>
        <v xml:space="preserve"> </v>
      </c>
      <c r="L39" s="134"/>
      <c r="M39" s="146" t="str">
        <f t="shared" si="7"/>
        <v xml:space="preserve"> </v>
      </c>
      <c r="N39" s="147"/>
      <c r="O39" s="148" t="str">
        <f t="shared" si="0"/>
        <v xml:space="preserve"> </v>
      </c>
      <c r="P39" s="149"/>
      <c r="Q39" s="144"/>
      <c r="R39" s="173"/>
      <c r="S39" s="173"/>
      <c r="T39" s="150"/>
      <c r="U39" s="151"/>
      <c r="V39" s="152"/>
      <c r="W39" s="150"/>
      <c r="X39" s="153" t="str">
        <f t="shared" si="1"/>
        <v xml:space="preserve"> </v>
      </c>
      <c r="Y39" s="154"/>
      <c r="Z39" s="132" t="s">
        <v>129</v>
      </c>
    </row>
    <row r="40" spans="2:26" ht="15" x14ac:dyDescent="0.25">
      <c r="B40" s="139">
        <f t="shared" si="2"/>
        <v>0</v>
      </c>
      <c r="C40" s="140">
        <f t="shared" si="3"/>
        <v>46045</v>
      </c>
      <c r="D40" s="141">
        <f t="shared" si="9"/>
        <v>5</v>
      </c>
      <c r="E40" s="140" t="str">
        <f t="shared" si="10"/>
        <v>Sexta</v>
      </c>
      <c r="F40" s="157" t="str">
        <f t="shared" si="5"/>
        <v xml:space="preserve"> </v>
      </c>
      <c r="G40" s="157"/>
      <c r="H40" s="156"/>
      <c r="I40" s="143"/>
      <c r="J40" s="144"/>
      <c r="K40" s="145" t="str">
        <f t="shared" si="6"/>
        <v xml:space="preserve"> </v>
      </c>
      <c r="L40" s="134"/>
      <c r="M40" s="146" t="str">
        <f t="shared" si="7"/>
        <v xml:space="preserve"> </v>
      </c>
      <c r="N40" s="147"/>
      <c r="O40" s="148" t="str">
        <f t="shared" si="0"/>
        <v xml:space="preserve"> </v>
      </c>
      <c r="P40" s="149"/>
      <c r="Q40" s="144"/>
      <c r="R40" s="173"/>
      <c r="S40" s="173"/>
      <c r="T40" s="150"/>
      <c r="U40" s="151"/>
      <c r="V40" s="152"/>
      <c r="W40" s="150"/>
      <c r="X40" s="153" t="str">
        <f t="shared" si="1"/>
        <v xml:space="preserve"> </v>
      </c>
      <c r="Y40" s="154"/>
      <c r="Z40" s="132" t="s">
        <v>129</v>
      </c>
    </row>
    <row r="41" spans="2:26" ht="15" x14ac:dyDescent="0.25">
      <c r="B41" s="139">
        <f t="shared" si="2"/>
        <v>0</v>
      </c>
      <c r="C41" s="140">
        <f t="shared" si="3"/>
        <v>46045</v>
      </c>
      <c r="D41" s="141">
        <f t="shared" si="9"/>
        <v>5</v>
      </c>
      <c r="E41" s="140" t="str">
        <f t="shared" si="10"/>
        <v>Sexta</v>
      </c>
      <c r="F41" s="157" t="str">
        <f t="shared" si="5"/>
        <v xml:space="preserve"> </v>
      </c>
      <c r="G41" s="157"/>
      <c r="H41" s="156"/>
      <c r="I41" s="143"/>
      <c r="J41" s="144"/>
      <c r="K41" s="145" t="str">
        <f t="shared" si="6"/>
        <v xml:space="preserve"> </v>
      </c>
      <c r="L41" s="134"/>
      <c r="M41" s="146" t="str">
        <f t="shared" si="7"/>
        <v xml:space="preserve"> </v>
      </c>
      <c r="N41" s="147"/>
      <c r="O41" s="148" t="str">
        <f t="shared" si="0"/>
        <v xml:space="preserve"> </v>
      </c>
      <c r="P41" s="149"/>
      <c r="Q41" s="144"/>
      <c r="R41" s="173"/>
      <c r="S41" s="173"/>
      <c r="T41" s="150"/>
      <c r="U41" s="151"/>
      <c r="V41" s="152"/>
      <c r="W41" s="150"/>
      <c r="X41" s="153" t="str">
        <f t="shared" si="1"/>
        <v xml:space="preserve"> </v>
      </c>
      <c r="Y41" s="154"/>
      <c r="Z41" s="132" t="s">
        <v>129</v>
      </c>
    </row>
    <row r="42" spans="2:26" ht="15" x14ac:dyDescent="0.25">
      <c r="B42" s="139">
        <f t="shared" si="2"/>
        <v>0</v>
      </c>
      <c r="C42" s="140">
        <f t="shared" si="3"/>
        <v>46045</v>
      </c>
      <c r="D42" s="141">
        <f t="shared" si="9"/>
        <v>5</v>
      </c>
      <c r="E42" s="140" t="str">
        <f t="shared" si="10"/>
        <v>Sexta</v>
      </c>
      <c r="F42" s="157" t="str">
        <f t="shared" si="5"/>
        <v xml:space="preserve"> </v>
      </c>
      <c r="G42" s="157"/>
      <c r="H42" s="156"/>
      <c r="I42" s="143"/>
      <c r="J42" s="144"/>
      <c r="K42" s="145" t="str">
        <f t="shared" si="6"/>
        <v xml:space="preserve"> </v>
      </c>
      <c r="L42" s="134"/>
      <c r="M42" s="146" t="str">
        <f t="shared" si="7"/>
        <v xml:space="preserve"> </v>
      </c>
      <c r="N42" s="147"/>
      <c r="O42" s="148" t="str">
        <f t="shared" si="0"/>
        <v xml:space="preserve"> </v>
      </c>
      <c r="P42" s="149"/>
      <c r="Q42" s="144"/>
      <c r="R42" s="173"/>
      <c r="S42" s="173"/>
      <c r="T42" s="150"/>
      <c r="U42" s="151"/>
      <c r="V42" s="152"/>
      <c r="W42" s="150"/>
      <c r="X42" s="153" t="str">
        <f t="shared" si="1"/>
        <v xml:space="preserve"> </v>
      </c>
      <c r="Y42" s="154"/>
      <c r="Z42" s="132" t="s">
        <v>129</v>
      </c>
    </row>
    <row r="43" spans="2:26" ht="15" x14ac:dyDescent="0.25">
      <c r="B43" s="139">
        <f t="shared" si="2"/>
        <v>0</v>
      </c>
      <c r="C43" s="140">
        <f t="shared" si="3"/>
        <v>46045</v>
      </c>
      <c r="D43" s="141">
        <f t="shared" si="9"/>
        <v>5</v>
      </c>
      <c r="E43" s="140" t="str">
        <f t="shared" si="10"/>
        <v>Sexta</v>
      </c>
      <c r="F43" s="157" t="str">
        <f t="shared" si="5"/>
        <v xml:space="preserve"> </v>
      </c>
      <c r="G43" s="157"/>
      <c r="H43" s="156"/>
      <c r="I43" s="143"/>
      <c r="J43" s="144"/>
      <c r="K43" s="145" t="str">
        <f t="shared" si="6"/>
        <v xml:space="preserve"> </v>
      </c>
      <c r="L43" s="134"/>
      <c r="M43" s="146" t="str">
        <f t="shared" si="7"/>
        <v xml:space="preserve"> </v>
      </c>
      <c r="N43" s="147"/>
      <c r="O43" s="148" t="str">
        <f t="shared" si="0"/>
        <v xml:space="preserve"> </v>
      </c>
      <c r="P43" s="149"/>
      <c r="Q43" s="144"/>
      <c r="R43" s="173"/>
      <c r="S43" s="173"/>
      <c r="T43" s="150"/>
      <c r="U43" s="151"/>
      <c r="V43" s="152"/>
      <c r="W43" s="150"/>
      <c r="X43" s="153" t="str">
        <f t="shared" si="1"/>
        <v xml:space="preserve"> </v>
      </c>
      <c r="Y43" s="154"/>
      <c r="Z43" s="132" t="s">
        <v>129</v>
      </c>
    </row>
    <row r="44" spans="2:26" ht="15" x14ac:dyDescent="0.25">
      <c r="B44" s="139">
        <f t="shared" si="2"/>
        <v>0</v>
      </c>
      <c r="C44" s="140">
        <f t="shared" si="3"/>
        <v>46045</v>
      </c>
      <c r="D44" s="141">
        <f t="shared" si="9"/>
        <v>5</v>
      </c>
      <c r="E44" s="140" t="str">
        <f t="shared" si="10"/>
        <v>Sexta</v>
      </c>
      <c r="F44" s="157" t="str">
        <f t="shared" si="5"/>
        <v xml:space="preserve"> </v>
      </c>
      <c r="G44" s="157"/>
      <c r="H44" s="156"/>
      <c r="I44" s="143"/>
      <c r="J44" s="144"/>
      <c r="K44" s="145" t="str">
        <f t="shared" si="6"/>
        <v xml:space="preserve"> </v>
      </c>
      <c r="L44" s="134"/>
      <c r="M44" s="146" t="str">
        <f t="shared" si="7"/>
        <v xml:space="preserve"> </v>
      </c>
      <c r="N44" s="147"/>
      <c r="O44" s="148" t="str">
        <f t="shared" si="0"/>
        <v xml:space="preserve"> </v>
      </c>
      <c r="P44" s="149"/>
      <c r="Q44" s="144"/>
      <c r="R44" s="173"/>
      <c r="S44" s="173"/>
      <c r="T44" s="150"/>
      <c r="U44" s="151"/>
      <c r="V44" s="152"/>
      <c r="W44" s="150"/>
      <c r="X44" s="153" t="str">
        <f t="shared" si="1"/>
        <v xml:space="preserve"> </v>
      </c>
      <c r="Y44" s="154"/>
      <c r="Z44" s="132" t="s">
        <v>129</v>
      </c>
    </row>
    <row r="45" spans="2:26" ht="15" x14ac:dyDescent="0.25">
      <c r="B45" s="139">
        <f t="shared" si="2"/>
        <v>0</v>
      </c>
      <c r="C45" s="140">
        <f t="shared" si="3"/>
        <v>46045</v>
      </c>
      <c r="D45" s="141">
        <f t="shared" si="9"/>
        <v>5</v>
      </c>
      <c r="E45" s="140" t="str">
        <f t="shared" si="10"/>
        <v>Sexta</v>
      </c>
      <c r="F45" s="157" t="str">
        <f t="shared" si="5"/>
        <v xml:space="preserve"> </v>
      </c>
      <c r="G45" s="157"/>
      <c r="H45" s="156"/>
      <c r="I45" s="143"/>
      <c r="J45" s="144"/>
      <c r="K45" s="145" t="str">
        <f t="shared" si="6"/>
        <v xml:space="preserve"> </v>
      </c>
      <c r="L45" s="134"/>
      <c r="M45" s="146" t="str">
        <f t="shared" si="7"/>
        <v xml:space="preserve"> </v>
      </c>
      <c r="N45" s="147"/>
      <c r="O45" s="148" t="str">
        <f t="shared" si="0"/>
        <v xml:space="preserve"> </v>
      </c>
      <c r="P45" s="149"/>
      <c r="Q45" s="144"/>
      <c r="R45" s="173"/>
      <c r="S45" s="173"/>
      <c r="T45" s="150"/>
      <c r="U45" s="151"/>
      <c r="V45" s="152"/>
      <c r="W45" s="150"/>
      <c r="X45" s="153" t="str">
        <f t="shared" si="1"/>
        <v xml:space="preserve"> </v>
      </c>
      <c r="Y45" s="154"/>
      <c r="Z45" s="132" t="s">
        <v>129</v>
      </c>
    </row>
    <row r="46" spans="2:26" ht="15" x14ac:dyDescent="0.25">
      <c r="B46" s="139">
        <f t="shared" si="2"/>
        <v>0</v>
      </c>
      <c r="C46" s="140">
        <f t="shared" si="3"/>
        <v>46045</v>
      </c>
      <c r="D46" s="141">
        <f t="shared" si="9"/>
        <v>5</v>
      </c>
      <c r="E46" s="140" t="str">
        <f t="shared" si="10"/>
        <v>Sexta</v>
      </c>
      <c r="F46" s="157" t="str">
        <f t="shared" si="5"/>
        <v xml:space="preserve"> </v>
      </c>
      <c r="G46" s="157"/>
      <c r="H46" s="156"/>
      <c r="I46" s="143"/>
      <c r="J46" s="144"/>
      <c r="K46" s="145" t="str">
        <f t="shared" si="6"/>
        <v xml:space="preserve"> </v>
      </c>
      <c r="L46" s="134"/>
      <c r="M46" s="146" t="str">
        <f t="shared" si="7"/>
        <v xml:space="preserve"> </v>
      </c>
      <c r="N46" s="147"/>
      <c r="O46" s="148" t="str">
        <f t="shared" si="0"/>
        <v xml:space="preserve"> </v>
      </c>
      <c r="P46" s="149"/>
      <c r="Q46" s="144"/>
      <c r="R46" s="173"/>
      <c r="S46" s="173"/>
      <c r="T46" s="150"/>
      <c r="U46" s="151"/>
      <c r="V46" s="152"/>
      <c r="W46" s="150"/>
      <c r="X46" s="153" t="str">
        <f t="shared" si="1"/>
        <v xml:space="preserve"> </v>
      </c>
      <c r="Y46" s="154"/>
      <c r="Z46" s="132" t="s">
        <v>129</v>
      </c>
    </row>
    <row r="47" spans="2:26" ht="15" x14ac:dyDescent="0.25">
      <c r="B47" s="139">
        <f t="shared" si="2"/>
        <v>0</v>
      </c>
      <c r="C47" s="140">
        <f t="shared" si="3"/>
        <v>46045</v>
      </c>
      <c r="D47" s="141">
        <f t="shared" si="9"/>
        <v>5</v>
      </c>
      <c r="E47" s="140" t="str">
        <f t="shared" si="10"/>
        <v>Sexta</v>
      </c>
      <c r="F47" s="157" t="str">
        <f t="shared" si="5"/>
        <v xml:space="preserve"> </v>
      </c>
      <c r="G47" s="157"/>
      <c r="H47" s="156"/>
      <c r="I47" s="143"/>
      <c r="J47" s="144"/>
      <c r="K47" s="145" t="str">
        <f t="shared" si="6"/>
        <v xml:space="preserve"> </v>
      </c>
      <c r="L47" s="134"/>
      <c r="M47" s="146" t="str">
        <f t="shared" si="7"/>
        <v xml:space="preserve"> </v>
      </c>
      <c r="N47" s="147"/>
      <c r="O47" s="148" t="str">
        <f t="shared" si="0"/>
        <v xml:space="preserve"> </v>
      </c>
      <c r="P47" s="149"/>
      <c r="Q47" s="144"/>
      <c r="R47" s="173"/>
      <c r="S47" s="173"/>
      <c r="T47" s="150"/>
      <c r="U47" s="151"/>
      <c r="V47" s="152"/>
      <c r="W47" s="150"/>
      <c r="X47" s="153" t="str">
        <f t="shared" si="1"/>
        <v xml:space="preserve"> </v>
      </c>
      <c r="Y47" s="154"/>
      <c r="Z47" s="132" t="s">
        <v>129</v>
      </c>
    </row>
    <row r="48" spans="2:26" ht="15" x14ac:dyDescent="0.25">
      <c r="B48" s="139">
        <f t="shared" si="2"/>
        <v>0</v>
      </c>
      <c r="C48" s="140">
        <f t="shared" si="3"/>
        <v>46045</v>
      </c>
      <c r="D48" s="141">
        <f t="shared" si="9"/>
        <v>5</v>
      </c>
      <c r="E48" s="140" t="str">
        <f t="shared" si="10"/>
        <v>Sexta</v>
      </c>
      <c r="F48" s="157" t="str">
        <f t="shared" si="5"/>
        <v xml:space="preserve"> </v>
      </c>
      <c r="G48" s="157"/>
      <c r="H48" s="156"/>
      <c r="I48" s="143"/>
      <c r="J48" s="144"/>
      <c r="K48" s="145" t="str">
        <f t="shared" si="6"/>
        <v xml:space="preserve"> </v>
      </c>
      <c r="L48" s="134"/>
      <c r="M48" s="146" t="str">
        <f t="shared" si="7"/>
        <v xml:space="preserve"> </v>
      </c>
      <c r="N48" s="147"/>
      <c r="O48" s="148" t="str">
        <f t="shared" si="0"/>
        <v xml:space="preserve"> </v>
      </c>
      <c r="P48" s="149"/>
      <c r="Q48" s="144"/>
      <c r="R48" s="173"/>
      <c r="S48" s="173"/>
      <c r="T48" s="150"/>
      <c r="U48" s="151"/>
      <c r="V48" s="152"/>
      <c r="W48" s="150"/>
      <c r="X48" s="153" t="str">
        <f t="shared" si="1"/>
        <v xml:space="preserve"> </v>
      </c>
      <c r="Y48" s="154"/>
      <c r="Z48" s="132" t="s">
        <v>129</v>
      </c>
    </row>
    <row r="49" spans="2:26" ht="15" x14ac:dyDescent="0.25">
      <c r="B49" s="139">
        <f t="shared" si="2"/>
        <v>0</v>
      </c>
      <c r="C49" s="140">
        <f t="shared" si="3"/>
        <v>46045</v>
      </c>
      <c r="D49" s="141">
        <f t="shared" si="9"/>
        <v>5</v>
      </c>
      <c r="E49" s="140" t="str">
        <f t="shared" si="10"/>
        <v>Sexta</v>
      </c>
      <c r="F49" s="157" t="str">
        <f t="shared" si="5"/>
        <v xml:space="preserve"> </v>
      </c>
      <c r="G49" s="157"/>
      <c r="H49" s="156"/>
      <c r="I49" s="143"/>
      <c r="J49" s="144"/>
      <c r="K49" s="145" t="str">
        <f t="shared" si="6"/>
        <v xml:space="preserve"> </v>
      </c>
      <c r="L49" s="134"/>
      <c r="M49" s="146" t="str">
        <f t="shared" si="7"/>
        <v xml:space="preserve"> </v>
      </c>
      <c r="N49" s="147"/>
      <c r="O49" s="148" t="str">
        <f t="shared" ref="O49:O66" si="11">IF(B49&gt;0,N49*M49," ")</f>
        <v xml:space="preserve"> </v>
      </c>
      <c r="P49" s="149"/>
      <c r="Q49" s="144"/>
      <c r="R49" s="173"/>
      <c r="S49" s="173"/>
      <c r="T49" s="150"/>
      <c r="U49" s="151"/>
      <c r="V49" s="152"/>
      <c r="W49" s="150"/>
      <c r="X49" s="153" t="str">
        <f t="shared" ref="X49:X66" si="12">IF(B49&gt;0,T49+O49+U49+W49+P49," ")</f>
        <v xml:space="preserve"> </v>
      </c>
      <c r="Y49" s="154"/>
      <c r="Z49" s="132" t="s">
        <v>129</v>
      </c>
    </row>
    <row r="50" spans="2:26" ht="15" x14ac:dyDescent="0.25">
      <c r="B50" s="139">
        <f t="shared" ref="B50:B66" si="13">IF(Q49="",0,IF(Q49&gt;=0,B49+1))</f>
        <v>0</v>
      </c>
      <c r="C50" s="140">
        <f t="shared" ref="C50:C66" si="14">IF(Q49="",C49,IF(Q49=0,C49,IF(Q49&gt;0,C49+Q49)))</f>
        <v>46045</v>
      </c>
      <c r="D50" s="141">
        <f t="shared" si="9"/>
        <v>5</v>
      </c>
      <c r="E50" s="140" t="str">
        <f t="shared" si="10"/>
        <v>Sexta</v>
      </c>
      <c r="F50" s="157" t="str">
        <f t="shared" ref="F50:F66" si="15">IF(B50&gt;0,H49," ")</f>
        <v xml:space="preserve"> </v>
      </c>
      <c r="G50" s="157"/>
      <c r="H50" s="156"/>
      <c r="I50" s="143"/>
      <c r="J50" s="144"/>
      <c r="K50" s="145" t="str">
        <f t="shared" ref="K50:K66" si="16">IF(B50&gt;0,J50+K49," ")</f>
        <v xml:space="preserve"> </v>
      </c>
      <c r="L50" s="134"/>
      <c r="M50" s="146" t="str">
        <f t="shared" ref="M50:M66" si="17">IF(B50&gt;0,J50/$I$5," ")</f>
        <v xml:space="preserve"> </v>
      </c>
      <c r="N50" s="147"/>
      <c r="O50" s="148" t="str">
        <f t="shared" si="11"/>
        <v xml:space="preserve"> </v>
      </c>
      <c r="P50" s="149"/>
      <c r="Q50" s="144"/>
      <c r="R50" s="173"/>
      <c r="S50" s="173"/>
      <c r="T50" s="150"/>
      <c r="U50" s="151"/>
      <c r="V50" s="152"/>
      <c r="W50" s="150"/>
      <c r="X50" s="153" t="str">
        <f t="shared" si="12"/>
        <v xml:space="preserve"> </v>
      </c>
      <c r="Y50" s="154"/>
      <c r="Z50" s="132" t="s">
        <v>129</v>
      </c>
    </row>
    <row r="51" spans="2:26" ht="15" x14ac:dyDescent="0.25">
      <c r="B51" s="139">
        <f t="shared" si="13"/>
        <v>0</v>
      </c>
      <c r="C51" s="140">
        <f t="shared" si="14"/>
        <v>46045</v>
      </c>
      <c r="D51" s="141">
        <f t="shared" si="9"/>
        <v>5</v>
      </c>
      <c r="E51" s="140" t="str">
        <f t="shared" si="10"/>
        <v>Sexta</v>
      </c>
      <c r="F51" s="157" t="str">
        <f t="shared" si="15"/>
        <v xml:space="preserve"> </v>
      </c>
      <c r="G51" s="157"/>
      <c r="H51" s="156"/>
      <c r="I51" s="143"/>
      <c r="J51" s="144"/>
      <c r="K51" s="145" t="str">
        <f t="shared" si="16"/>
        <v xml:space="preserve"> </v>
      </c>
      <c r="L51" s="134"/>
      <c r="M51" s="146" t="str">
        <f t="shared" si="17"/>
        <v xml:space="preserve"> </v>
      </c>
      <c r="N51" s="147"/>
      <c r="O51" s="148" t="str">
        <f t="shared" si="11"/>
        <v xml:space="preserve"> </v>
      </c>
      <c r="P51" s="149"/>
      <c r="Q51" s="144"/>
      <c r="R51" s="173"/>
      <c r="S51" s="173"/>
      <c r="T51" s="150"/>
      <c r="U51" s="151"/>
      <c r="V51" s="152"/>
      <c r="W51" s="150"/>
      <c r="X51" s="153" t="str">
        <f t="shared" si="12"/>
        <v xml:space="preserve"> </v>
      </c>
      <c r="Y51" s="154"/>
      <c r="Z51" s="132" t="s">
        <v>129</v>
      </c>
    </row>
    <row r="52" spans="2:26" ht="15" x14ac:dyDescent="0.25">
      <c r="B52" s="139">
        <f t="shared" si="13"/>
        <v>0</v>
      </c>
      <c r="C52" s="140">
        <f t="shared" si="14"/>
        <v>46045</v>
      </c>
      <c r="D52" s="141">
        <f t="shared" si="9"/>
        <v>5</v>
      </c>
      <c r="E52" s="140" t="str">
        <f t="shared" si="10"/>
        <v>Sexta</v>
      </c>
      <c r="F52" s="157" t="str">
        <f t="shared" si="15"/>
        <v xml:space="preserve"> </v>
      </c>
      <c r="G52" s="157"/>
      <c r="H52" s="156"/>
      <c r="I52" s="143"/>
      <c r="J52" s="144"/>
      <c r="K52" s="145" t="str">
        <f t="shared" si="16"/>
        <v xml:space="preserve"> </v>
      </c>
      <c r="L52" s="134"/>
      <c r="M52" s="146" t="str">
        <f t="shared" si="17"/>
        <v xml:space="preserve"> </v>
      </c>
      <c r="N52" s="147"/>
      <c r="O52" s="148" t="str">
        <f t="shared" si="11"/>
        <v xml:space="preserve"> </v>
      </c>
      <c r="P52" s="149"/>
      <c r="Q52" s="144"/>
      <c r="R52" s="173"/>
      <c r="S52" s="173"/>
      <c r="T52" s="150"/>
      <c r="U52" s="151"/>
      <c r="V52" s="152"/>
      <c r="W52" s="150"/>
      <c r="X52" s="153" t="str">
        <f t="shared" si="12"/>
        <v xml:space="preserve"> </v>
      </c>
      <c r="Y52" s="154"/>
      <c r="Z52" s="132" t="s">
        <v>129</v>
      </c>
    </row>
    <row r="53" spans="2:26" ht="15" x14ac:dyDescent="0.25">
      <c r="B53" s="139">
        <f t="shared" si="13"/>
        <v>0</v>
      </c>
      <c r="C53" s="140">
        <f t="shared" si="14"/>
        <v>46045</v>
      </c>
      <c r="D53" s="141">
        <f t="shared" si="9"/>
        <v>5</v>
      </c>
      <c r="E53" s="140" t="str">
        <f t="shared" si="10"/>
        <v>Sexta</v>
      </c>
      <c r="F53" s="157" t="str">
        <f t="shared" si="15"/>
        <v xml:space="preserve"> </v>
      </c>
      <c r="G53" s="157"/>
      <c r="H53" s="156"/>
      <c r="I53" s="143"/>
      <c r="J53" s="144"/>
      <c r="K53" s="145" t="str">
        <f t="shared" si="16"/>
        <v xml:space="preserve"> </v>
      </c>
      <c r="L53" s="134"/>
      <c r="M53" s="146" t="str">
        <f t="shared" si="17"/>
        <v xml:space="preserve"> </v>
      </c>
      <c r="N53" s="147"/>
      <c r="O53" s="148" t="str">
        <f t="shared" si="11"/>
        <v xml:space="preserve"> </v>
      </c>
      <c r="P53" s="149"/>
      <c r="Q53" s="144"/>
      <c r="R53" s="173"/>
      <c r="S53" s="173"/>
      <c r="T53" s="150"/>
      <c r="U53" s="151"/>
      <c r="V53" s="152"/>
      <c r="W53" s="150"/>
      <c r="X53" s="153" t="str">
        <f t="shared" si="12"/>
        <v xml:space="preserve"> </v>
      </c>
      <c r="Y53" s="154"/>
      <c r="Z53" s="132" t="s">
        <v>129</v>
      </c>
    </row>
    <row r="54" spans="2:26" ht="15" x14ac:dyDescent="0.25">
      <c r="B54" s="139">
        <f t="shared" si="13"/>
        <v>0</v>
      </c>
      <c r="C54" s="140">
        <f t="shared" si="14"/>
        <v>46045</v>
      </c>
      <c r="D54" s="141">
        <f t="shared" si="9"/>
        <v>5</v>
      </c>
      <c r="E54" s="140" t="str">
        <f t="shared" si="10"/>
        <v>Sexta</v>
      </c>
      <c r="F54" s="157" t="str">
        <f t="shared" si="15"/>
        <v xml:space="preserve"> </v>
      </c>
      <c r="G54" s="157"/>
      <c r="H54" s="156"/>
      <c r="I54" s="143"/>
      <c r="J54" s="144"/>
      <c r="K54" s="145" t="str">
        <f t="shared" si="16"/>
        <v xml:space="preserve"> </v>
      </c>
      <c r="L54" s="134"/>
      <c r="M54" s="146" t="str">
        <f t="shared" si="17"/>
        <v xml:space="preserve"> </v>
      </c>
      <c r="N54" s="147"/>
      <c r="O54" s="148" t="str">
        <f t="shared" si="11"/>
        <v xml:space="preserve"> </v>
      </c>
      <c r="P54" s="149"/>
      <c r="Q54" s="144"/>
      <c r="R54" s="173"/>
      <c r="S54" s="173"/>
      <c r="T54" s="150"/>
      <c r="U54" s="151"/>
      <c r="V54" s="152"/>
      <c r="W54" s="150"/>
      <c r="X54" s="153" t="str">
        <f t="shared" si="12"/>
        <v xml:space="preserve"> </v>
      </c>
      <c r="Y54" s="154"/>
      <c r="Z54" s="132" t="s">
        <v>129</v>
      </c>
    </row>
    <row r="55" spans="2:26" ht="15" x14ac:dyDescent="0.25">
      <c r="B55" s="139">
        <f t="shared" si="13"/>
        <v>0</v>
      </c>
      <c r="C55" s="140">
        <f t="shared" si="14"/>
        <v>46045</v>
      </c>
      <c r="D55" s="141">
        <f t="shared" si="9"/>
        <v>5</v>
      </c>
      <c r="E55" s="140" t="str">
        <f t="shared" si="10"/>
        <v>Sexta</v>
      </c>
      <c r="F55" s="157" t="str">
        <f t="shared" si="15"/>
        <v xml:space="preserve"> </v>
      </c>
      <c r="G55" s="157"/>
      <c r="H55" s="156"/>
      <c r="I55" s="143"/>
      <c r="J55" s="144"/>
      <c r="K55" s="145" t="str">
        <f t="shared" si="16"/>
        <v xml:space="preserve"> </v>
      </c>
      <c r="L55" s="134"/>
      <c r="M55" s="146" t="str">
        <f t="shared" si="17"/>
        <v xml:space="preserve"> </v>
      </c>
      <c r="N55" s="147"/>
      <c r="O55" s="148" t="str">
        <f t="shared" si="11"/>
        <v xml:space="preserve"> </v>
      </c>
      <c r="P55" s="149"/>
      <c r="Q55" s="144"/>
      <c r="R55" s="173"/>
      <c r="S55" s="173"/>
      <c r="T55" s="150"/>
      <c r="U55" s="151"/>
      <c r="V55" s="152"/>
      <c r="W55" s="150"/>
      <c r="X55" s="153" t="str">
        <f t="shared" si="12"/>
        <v xml:space="preserve"> </v>
      </c>
      <c r="Y55" s="154"/>
      <c r="Z55" s="132" t="s">
        <v>129</v>
      </c>
    </row>
    <row r="56" spans="2:26" ht="15" x14ac:dyDescent="0.25">
      <c r="B56" s="139">
        <f t="shared" si="13"/>
        <v>0</v>
      </c>
      <c r="C56" s="140">
        <f t="shared" si="14"/>
        <v>46045</v>
      </c>
      <c r="D56" s="141">
        <f t="shared" si="9"/>
        <v>5</v>
      </c>
      <c r="E56" s="140" t="str">
        <f t="shared" si="10"/>
        <v>Sexta</v>
      </c>
      <c r="F56" s="157" t="str">
        <f t="shared" si="15"/>
        <v xml:space="preserve"> </v>
      </c>
      <c r="G56" s="157"/>
      <c r="H56" s="156"/>
      <c r="I56" s="143"/>
      <c r="J56" s="144"/>
      <c r="K56" s="145" t="str">
        <f t="shared" si="16"/>
        <v xml:space="preserve"> </v>
      </c>
      <c r="L56" s="134"/>
      <c r="M56" s="146" t="str">
        <f t="shared" si="17"/>
        <v xml:space="preserve"> </v>
      </c>
      <c r="N56" s="147"/>
      <c r="O56" s="148" t="str">
        <f t="shared" si="11"/>
        <v xml:space="preserve"> </v>
      </c>
      <c r="P56" s="149"/>
      <c r="Q56" s="144"/>
      <c r="R56" s="173"/>
      <c r="S56" s="173"/>
      <c r="T56" s="150"/>
      <c r="U56" s="151"/>
      <c r="V56" s="152"/>
      <c r="W56" s="150"/>
      <c r="X56" s="153" t="str">
        <f t="shared" si="12"/>
        <v xml:space="preserve"> </v>
      </c>
      <c r="Y56" s="154"/>
      <c r="Z56" s="132" t="s">
        <v>129</v>
      </c>
    </row>
    <row r="57" spans="2:26" ht="15" x14ac:dyDescent="0.25">
      <c r="B57" s="139">
        <f t="shared" si="13"/>
        <v>0</v>
      </c>
      <c r="C57" s="140">
        <f t="shared" si="14"/>
        <v>46045</v>
      </c>
      <c r="D57" s="141">
        <f t="shared" si="4"/>
        <v>5</v>
      </c>
      <c r="E57" s="140" t="str">
        <f t="shared" si="8"/>
        <v>Sexta</v>
      </c>
      <c r="F57" s="157" t="str">
        <f t="shared" si="15"/>
        <v xml:space="preserve"> </v>
      </c>
      <c r="G57" s="157"/>
      <c r="H57" s="156"/>
      <c r="I57" s="143"/>
      <c r="J57" s="144"/>
      <c r="K57" s="145" t="str">
        <f t="shared" si="16"/>
        <v xml:space="preserve"> </v>
      </c>
      <c r="L57" s="134"/>
      <c r="M57" s="146" t="str">
        <f t="shared" si="17"/>
        <v xml:space="preserve"> </v>
      </c>
      <c r="N57" s="147"/>
      <c r="O57" s="148" t="str">
        <f t="shared" si="11"/>
        <v xml:space="preserve"> </v>
      </c>
      <c r="P57" s="149"/>
      <c r="Q57" s="144"/>
      <c r="R57" s="173"/>
      <c r="S57" s="173"/>
      <c r="T57" s="150"/>
      <c r="U57" s="151"/>
      <c r="V57" s="152"/>
      <c r="W57" s="150"/>
      <c r="X57" s="153" t="str">
        <f t="shared" si="12"/>
        <v xml:space="preserve"> </v>
      </c>
      <c r="Y57" s="154"/>
      <c r="Z57" s="132" t="s">
        <v>129</v>
      </c>
    </row>
    <row r="58" spans="2:26" ht="15" x14ac:dyDescent="0.25">
      <c r="B58" s="139">
        <f t="shared" si="13"/>
        <v>0</v>
      </c>
      <c r="C58" s="140">
        <f t="shared" si="14"/>
        <v>46045</v>
      </c>
      <c r="D58" s="141">
        <f t="shared" si="4"/>
        <v>5</v>
      </c>
      <c r="E58" s="140" t="str">
        <f t="shared" si="8"/>
        <v>Sexta</v>
      </c>
      <c r="F58" s="157" t="str">
        <f t="shared" si="15"/>
        <v xml:space="preserve"> </v>
      </c>
      <c r="G58" s="157"/>
      <c r="H58" s="156"/>
      <c r="I58" s="143"/>
      <c r="J58" s="144"/>
      <c r="K58" s="145" t="str">
        <f t="shared" si="16"/>
        <v xml:space="preserve"> </v>
      </c>
      <c r="L58" s="134"/>
      <c r="M58" s="146" t="str">
        <f t="shared" si="17"/>
        <v xml:space="preserve"> </v>
      </c>
      <c r="N58" s="147"/>
      <c r="O58" s="148" t="str">
        <f t="shared" si="11"/>
        <v xml:space="preserve"> </v>
      </c>
      <c r="P58" s="149"/>
      <c r="Q58" s="144"/>
      <c r="R58" s="173"/>
      <c r="S58" s="173"/>
      <c r="T58" s="150"/>
      <c r="U58" s="151"/>
      <c r="V58" s="152"/>
      <c r="W58" s="150"/>
      <c r="X58" s="153" t="str">
        <f t="shared" si="12"/>
        <v xml:space="preserve"> </v>
      </c>
      <c r="Y58" s="154"/>
      <c r="Z58" s="132" t="s">
        <v>129</v>
      </c>
    </row>
    <row r="59" spans="2:26" ht="15" x14ac:dyDescent="0.25">
      <c r="B59" s="139">
        <f t="shared" si="13"/>
        <v>0</v>
      </c>
      <c r="C59" s="140">
        <f t="shared" si="14"/>
        <v>46045</v>
      </c>
      <c r="D59" s="141">
        <f t="shared" si="4"/>
        <v>5</v>
      </c>
      <c r="E59" s="140" t="str">
        <f t="shared" si="8"/>
        <v>Sexta</v>
      </c>
      <c r="F59" s="157" t="str">
        <f t="shared" si="15"/>
        <v xml:space="preserve"> </v>
      </c>
      <c r="G59" s="157"/>
      <c r="H59" s="156"/>
      <c r="I59" s="143"/>
      <c r="J59" s="144"/>
      <c r="K59" s="145" t="str">
        <f t="shared" si="16"/>
        <v xml:space="preserve"> </v>
      </c>
      <c r="L59" s="134"/>
      <c r="M59" s="146" t="str">
        <f t="shared" si="17"/>
        <v xml:space="preserve"> </v>
      </c>
      <c r="N59" s="147"/>
      <c r="O59" s="148" t="str">
        <f t="shared" si="11"/>
        <v xml:space="preserve"> </v>
      </c>
      <c r="P59" s="149"/>
      <c r="Q59" s="144"/>
      <c r="R59" s="173"/>
      <c r="S59" s="173"/>
      <c r="T59" s="150"/>
      <c r="U59" s="151"/>
      <c r="V59" s="152"/>
      <c r="W59" s="150"/>
      <c r="X59" s="153" t="str">
        <f t="shared" si="12"/>
        <v xml:space="preserve"> </v>
      </c>
      <c r="Y59" s="154"/>
      <c r="Z59" s="132" t="s">
        <v>129</v>
      </c>
    </row>
    <row r="60" spans="2:26" ht="15" x14ac:dyDescent="0.25">
      <c r="B60" s="139">
        <f t="shared" si="13"/>
        <v>0</v>
      </c>
      <c r="C60" s="140">
        <f t="shared" si="14"/>
        <v>46045</v>
      </c>
      <c r="D60" s="141">
        <f t="shared" si="4"/>
        <v>5</v>
      </c>
      <c r="E60" s="140" t="str">
        <f t="shared" si="8"/>
        <v>Sexta</v>
      </c>
      <c r="F60" s="157" t="str">
        <f t="shared" si="15"/>
        <v xml:space="preserve"> </v>
      </c>
      <c r="G60" s="157"/>
      <c r="H60" s="156"/>
      <c r="I60" s="143"/>
      <c r="J60" s="144"/>
      <c r="K60" s="145" t="str">
        <f t="shared" si="16"/>
        <v xml:space="preserve"> </v>
      </c>
      <c r="L60" s="134"/>
      <c r="M60" s="146" t="str">
        <f t="shared" si="17"/>
        <v xml:space="preserve"> </v>
      </c>
      <c r="N60" s="147"/>
      <c r="O60" s="148" t="str">
        <f t="shared" si="11"/>
        <v xml:space="preserve"> </v>
      </c>
      <c r="P60" s="149"/>
      <c r="Q60" s="144"/>
      <c r="R60" s="173"/>
      <c r="S60" s="173"/>
      <c r="T60" s="150"/>
      <c r="U60" s="151"/>
      <c r="V60" s="152"/>
      <c r="W60" s="150"/>
      <c r="X60" s="153" t="str">
        <f t="shared" si="12"/>
        <v xml:space="preserve"> </v>
      </c>
      <c r="Y60" s="154"/>
      <c r="Z60" s="132" t="s">
        <v>129</v>
      </c>
    </row>
    <row r="61" spans="2:26" ht="15" x14ac:dyDescent="0.25">
      <c r="B61" s="139">
        <f t="shared" si="13"/>
        <v>0</v>
      </c>
      <c r="C61" s="140">
        <f t="shared" si="14"/>
        <v>46045</v>
      </c>
      <c r="D61" s="141">
        <f t="shared" si="4"/>
        <v>5</v>
      </c>
      <c r="E61" s="140" t="str">
        <f t="shared" si="8"/>
        <v>Sexta</v>
      </c>
      <c r="F61" s="157" t="str">
        <f t="shared" si="15"/>
        <v xml:space="preserve"> </v>
      </c>
      <c r="G61" s="157"/>
      <c r="H61" s="156"/>
      <c r="I61" s="143"/>
      <c r="J61" s="144"/>
      <c r="K61" s="145" t="str">
        <f t="shared" si="16"/>
        <v xml:space="preserve"> </v>
      </c>
      <c r="L61" s="134"/>
      <c r="M61" s="146" t="str">
        <f t="shared" si="17"/>
        <v xml:space="preserve"> </v>
      </c>
      <c r="N61" s="147"/>
      <c r="O61" s="148" t="str">
        <f t="shared" si="11"/>
        <v xml:space="preserve"> </v>
      </c>
      <c r="P61" s="149"/>
      <c r="Q61" s="144"/>
      <c r="R61" s="173"/>
      <c r="S61" s="173"/>
      <c r="T61" s="150"/>
      <c r="U61" s="151"/>
      <c r="V61" s="152"/>
      <c r="W61" s="150"/>
      <c r="X61" s="153" t="str">
        <f t="shared" si="12"/>
        <v xml:space="preserve"> </v>
      </c>
      <c r="Y61" s="154"/>
      <c r="Z61" s="132" t="s">
        <v>129</v>
      </c>
    </row>
    <row r="62" spans="2:26" ht="15" x14ac:dyDescent="0.25">
      <c r="B62" s="139">
        <f t="shared" si="13"/>
        <v>0</v>
      </c>
      <c r="C62" s="140">
        <f t="shared" si="14"/>
        <v>46045</v>
      </c>
      <c r="D62" s="141">
        <f t="shared" si="4"/>
        <v>5</v>
      </c>
      <c r="E62" s="140" t="str">
        <f t="shared" si="8"/>
        <v>Sexta</v>
      </c>
      <c r="F62" s="157" t="str">
        <f t="shared" si="15"/>
        <v xml:space="preserve"> </v>
      </c>
      <c r="G62" s="157"/>
      <c r="H62" s="156"/>
      <c r="I62" s="143"/>
      <c r="J62" s="144"/>
      <c r="K62" s="145" t="str">
        <f t="shared" si="16"/>
        <v xml:space="preserve"> </v>
      </c>
      <c r="L62" s="134"/>
      <c r="M62" s="146" t="str">
        <f t="shared" si="17"/>
        <v xml:space="preserve"> </v>
      </c>
      <c r="N62" s="147"/>
      <c r="O62" s="148" t="str">
        <f t="shared" si="11"/>
        <v xml:space="preserve"> </v>
      </c>
      <c r="P62" s="149"/>
      <c r="Q62" s="144"/>
      <c r="R62" s="173"/>
      <c r="S62" s="173"/>
      <c r="T62" s="150"/>
      <c r="U62" s="151"/>
      <c r="V62" s="152"/>
      <c r="W62" s="150"/>
      <c r="X62" s="153" t="str">
        <f t="shared" si="12"/>
        <v xml:space="preserve"> </v>
      </c>
      <c r="Y62" s="154"/>
      <c r="Z62" s="132" t="s">
        <v>129</v>
      </c>
    </row>
    <row r="63" spans="2:26" ht="15" x14ac:dyDescent="0.25">
      <c r="B63" s="139">
        <f t="shared" si="13"/>
        <v>0</v>
      </c>
      <c r="C63" s="140">
        <f t="shared" si="14"/>
        <v>46045</v>
      </c>
      <c r="D63" s="141">
        <f t="shared" si="4"/>
        <v>5</v>
      </c>
      <c r="E63" s="140" t="str">
        <f t="shared" si="8"/>
        <v>Sexta</v>
      </c>
      <c r="F63" s="157" t="str">
        <f t="shared" si="15"/>
        <v xml:space="preserve"> </v>
      </c>
      <c r="G63" s="157"/>
      <c r="H63" s="156"/>
      <c r="I63" s="143"/>
      <c r="J63" s="144"/>
      <c r="K63" s="145" t="str">
        <f t="shared" si="16"/>
        <v xml:space="preserve"> </v>
      </c>
      <c r="L63" s="134"/>
      <c r="M63" s="146" t="str">
        <f t="shared" si="17"/>
        <v xml:space="preserve"> </v>
      </c>
      <c r="N63" s="147"/>
      <c r="O63" s="148" t="str">
        <f t="shared" si="11"/>
        <v xml:space="preserve"> </v>
      </c>
      <c r="P63" s="149"/>
      <c r="Q63" s="144"/>
      <c r="R63" s="173"/>
      <c r="S63" s="173"/>
      <c r="T63" s="150"/>
      <c r="U63" s="151"/>
      <c r="V63" s="152"/>
      <c r="W63" s="150"/>
      <c r="X63" s="153" t="str">
        <f t="shared" si="12"/>
        <v xml:space="preserve"> </v>
      </c>
      <c r="Y63" s="154"/>
      <c r="Z63" s="132" t="s">
        <v>129</v>
      </c>
    </row>
    <row r="64" spans="2:26" ht="15" x14ac:dyDescent="0.25">
      <c r="B64" s="139">
        <f t="shared" si="13"/>
        <v>0</v>
      </c>
      <c r="C64" s="140">
        <f t="shared" si="14"/>
        <v>46045</v>
      </c>
      <c r="D64" s="141">
        <f t="shared" si="4"/>
        <v>5</v>
      </c>
      <c r="E64" s="140" t="str">
        <f t="shared" si="8"/>
        <v>Sexta</v>
      </c>
      <c r="F64" s="157" t="str">
        <f t="shared" si="15"/>
        <v xml:space="preserve"> </v>
      </c>
      <c r="G64" s="157"/>
      <c r="H64" s="156"/>
      <c r="I64" s="143"/>
      <c r="J64" s="144"/>
      <c r="K64" s="145" t="str">
        <f t="shared" si="16"/>
        <v xml:space="preserve"> </v>
      </c>
      <c r="L64" s="134"/>
      <c r="M64" s="146" t="str">
        <f t="shared" si="17"/>
        <v xml:space="preserve"> </v>
      </c>
      <c r="N64" s="147"/>
      <c r="O64" s="148" t="str">
        <f t="shared" si="11"/>
        <v xml:space="preserve"> </v>
      </c>
      <c r="P64" s="149"/>
      <c r="Q64" s="144"/>
      <c r="R64" s="173"/>
      <c r="S64" s="173"/>
      <c r="T64" s="150"/>
      <c r="U64" s="151"/>
      <c r="V64" s="152"/>
      <c r="W64" s="150"/>
      <c r="X64" s="153" t="str">
        <f t="shared" si="12"/>
        <v xml:space="preserve"> </v>
      </c>
      <c r="Y64" s="154"/>
      <c r="Z64" s="132" t="s">
        <v>129</v>
      </c>
    </row>
    <row r="65" spans="2:26" ht="15" x14ac:dyDescent="0.25">
      <c r="B65" s="139">
        <f t="shared" si="13"/>
        <v>0</v>
      </c>
      <c r="C65" s="140">
        <f t="shared" si="14"/>
        <v>46045</v>
      </c>
      <c r="D65" s="141">
        <f t="shared" si="4"/>
        <v>5</v>
      </c>
      <c r="E65" s="140" t="str">
        <f t="shared" si="8"/>
        <v>Sexta</v>
      </c>
      <c r="F65" s="157" t="str">
        <f t="shared" si="15"/>
        <v xml:space="preserve"> </v>
      </c>
      <c r="G65" s="157"/>
      <c r="H65" s="156"/>
      <c r="I65" s="143"/>
      <c r="J65" s="144"/>
      <c r="K65" s="145" t="str">
        <f t="shared" si="16"/>
        <v xml:space="preserve"> </v>
      </c>
      <c r="L65" s="134"/>
      <c r="M65" s="146" t="str">
        <f t="shared" si="17"/>
        <v xml:space="preserve"> </v>
      </c>
      <c r="N65" s="147"/>
      <c r="O65" s="148" t="str">
        <f t="shared" si="11"/>
        <v xml:space="preserve"> </v>
      </c>
      <c r="P65" s="149"/>
      <c r="Q65" s="144"/>
      <c r="R65" s="173"/>
      <c r="S65" s="173"/>
      <c r="T65" s="150"/>
      <c r="U65" s="151"/>
      <c r="V65" s="152"/>
      <c r="W65" s="150"/>
      <c r="X65" s="153" t="str">
        <f t="shared" si="12"/>
        <v xml:space="preserve"> </v>
      </c>
      <c r="Y65" s="154"/>
      <c r="Z65" s="132" t="s">
        <v>129</v>
      </c>
    </row>
    <row r="66" spans="2:26" ht="15" x14ac:dyDescent="0.25">
      <c r="B66" s="139">
        <f t="shared" si="13"/>
        <v>0</v>
      </c>
      <c r="C66" s="140">
        <f t="shared" si="14"/>
        <v>46045</v>
      </c>
      <c r="D66" s="141">
        <f t="shared" si="4"/>
        <v>5</v>
      </c>
      <c r="E66" s="140" t="str">
        <f t="shared" si="8"/>
        <v>Sexta</v>
      </c>
      <c r="F66" s="157" t="str">
        <f t="shared" si="15"/>
        <v xml:space="preserve"> </v>
      </c>
      <c r="G66" s="157"/>
      <c r="H66" s="156"/>
      <c r="I66" s="143"/>
      <c r="J66" s="144"/>
      <c r="K66" s="145" t="str">
        <f t="shared" si="16"/>
        <v xml:space="preserve"> </v>
      </c>
      <c r="L66" s="134"/>
      <c r="M66" s="146" t="str">
        <f t="shared" si="17"/>
        <v xml:space="preserve"> </v>
      </c>
      <c r="N66" s="147"/>
      <c r="O66" s="148" t="str">
        <f t="shared" si="11"/>
        <v xml:space="preserve"> </v>
      </c>
      <c r="P66" s="149"/>
      <c r="Q66" s="144"/>
      <c r="R66" s="173"/>
      <c r="S66" s="173"/>
      <c r="T66" s="150"/>
      <c r="U66" s="151"/>
      <c r="V66" s="152"/>
      <c r="W66" s="150"/>
      <c r="X66" s="153" t="str">
        <f t="shared" si="12"/>
        <v xml:space="preserve"> </v>
      </c>
      <c r="Y66" s="154"/>
      <c r="Z66" s="132" t="s">
        <v>129</v>
      </c>
    </row>
    <row r="67" spans="2:26" ht="16.5" hidden="1" customHeight="1" thickBot="1" x14ac:dyDescent="0.3">
      <c r="B67" s="66" t="s">
        <v>86</v>
      </c>
      <c r="C67" s="67">
        <f>C66</f>
        <v>46045</v>
      </c>
      <c r="D67" s="68">
        <f>IF(C67&gt;0,WEEKDAY(C67,2)," ")</f>
        <v>5</v>
      </c>
      <c r="E67" s="69" t="str">
        <f>IF(D67=1,"Segunda",IF(D67=2,"Terça",IF(D67=3,"Quarta",IF(D67=4,"Quinta",IF(D67=5,"Sexta",IF(D67=6,"Sábado",IF(D67=7,"Domingo"," ")))))))</f>
        <v>Sexta</v>
      </c>
      <c r="F67" s="70"/>
      <c r="G67" s="70"/>
      <c r="H67" s="70"/>
      <c r="I67" s="71"/>
      <c r="J67" s="72">
        <f>SUM(J17:J66)</f>
        <v>2972</v>
      </c>
      <c r="K67" s="73"/>
      <c r="L67" s="133"/>
      <c r="M67" s="74">
        <f>SUM(M17:M66)</f>
        <v>141.52380952380955</v>
      </c>
      <c r="N67" s="75"/>
      <c r="O67" s="76">
        <f>SUM(O17:O66)</f>
        <v>990.66666666666674</v>
      </c>
      <c r="P67" s="77">
        <f>SUM(P17:P66)</f>
        <v>0</v>
      </c>
      <c r="Q67" s="78">
        <f>SUM(Q17:Q66)</f>
        <v>11</v>
      </c>
      <c r="R67" s="209"/>
      <c r="S67" s="209"/>
      <c r="T67" s="79">
        <f>SUM(T17:T66)</f>
        <v>2750</v>
      </c>
      <c r="U67" s="80">
        <f>SUM(U17:U66)</f>
        <v>1320</v>
      </c>
      <c r="V67" s="80">
        <f>SUM(V17:V66)</f>
        <v>0</v>
      </c>
      <c r="W67" s="79">
        <f>SUM(W17:W66)</f>
        <v>0</v>
      </c>
      <c r="X67" s="77">
        <f>SUM(X17:X66)</f>
        <v>5060.666666666667</v>
      </c>
    </row>
    <row r="68" spans="2:26" ht="15" x14ac:dyDescent="0.25"/>
    <row r="69" spans="2:26" ht="15" x14ac:dyDescent="0.25">
      <c r="B69" s="221" t="s">
        <v>137</v>
      </c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</row>
    <row r="70" spans="2:26" ht="15" x14ac:dyDescent="0.25">
      <c r="B70" s="2"/>
    </row>
    <row r="71" spans="2:26" ht="15" x14ac:dyDescent="0.25">
      <c r="B71" s="2"/>
      <c r="O71" s="3"/>
      <c r="P71" s="3"/>
      <c r="Q71" s="3"/>
      <c r="R71" s="3"/>
      <c r="T71" s="1"/>
      <c r="U71" s="1"/>
      <c r="V71" s="1"/>
      <c r="W71" s="1"/>
      <c r="X71" s="1"/>
    </row>
    <row r="72" spans="2:26" ht="15" hidden="1" x14ac:dyDescent="0.25">
      <c r="O72" s="3"/>
      <c r="P72" s="3"/>
      <c r="Q72" s="3"/>
      <c r="R72" s="3"/>
      <c r="T72" s="1"/>
      <c r="U72" s="1"/>
      <c r="V72" s="1"/>
      <c r="W72" s="1"/>
      <c r="X72" s="1"/>
    </row>
    <row r="73" spans="2:26" ht="15" hidden="1" x14ac:dyDescent="0.25">
      <c r="O73" s="3"/>
      <c r="P73" s="3"/>
      <c r="Q73" s="3"/>
      <c r="R73" s="3"/>
      <c r="T73" s="1"/>
      <c r="U73" s="1"/>
      <c r="V73" s="1"/>
      <c r="W73" s="1"/>
      <c r="X73" s="1"/>
    </row>
    <row r="74" spans="2:26" ht="15" hidden="1" x14ac:dyDescent="0.25">
      <c r="O74" s="3"/>
      <c r="P74" s="3"/>
      <c r="Q74" s="3"/>
      <c r="R74" s="3"/>
      <c r="T74" s="1"/>
      <c r="U74" s="1"/>
      <c r="V74" s="1"/>
      <c r="W74" s="1"/>
      <c r="X74" s="1"/>
    </row>
    <row r="75" spans="2:26" ht="15" hidden="1" x14ac:dyDescent="0.25">
      <c r="O75" s="3"/>
      <c r="P75" s="3"/>
      <c r="Q75" s="1"/>
      <c r="R75" s="1"/>
      <c r="T75" s="1"/>
      <c r="U75" s="1"/>
      <c r="V75" s="1"/>
      <c r="W75" s="1"/>
      <c r="X75" s="1"/>
    </row>
    <row r="76" spans="2:26" ht="15" hidden="1" x14ac:dyDescent="0.25">
      <c r="O76" s="3"/>
      <c r="P76" s="3"/>
      <c r="Q76" s="3"/>
      <c r="R76" s="3"/>
      <c r="T76" s="1"/>
      <c r="U76" s="1"/>
      <c r="V76" s="1"/>
      <c r="W76" s="1"/>
      <c r="X76" s="3"/>
    </row>
    <row r="77" spans="2:26" ht="15" hidden="1" x14ac:dyDescent="0.25">
      <c r="O77" s="3"/>
      <c r="P77" s="3"/>
      <c r="Q77" s="3"/>
      <c r="R77" s="3"/>
      <c r="T77" s="3"/>
      <c r="U77" s="3"/>
      <c r="V77" s="3"/>
      <c r="W77" s="3"/>
    </row>
    <row r="78" spans="2:26" ht="15" hidden="1" x14ac:dyDescent="0.25">
      <c r="O78" s="1"/>
      <c r="P78" s="1"/>
      <c r="Q78" s="3"/>
      <c r="R78" s="3"/>
    </row>
    <row r="79" spans="2:26" ht="15" hidden="1" x14ac:dyDescent="0.25">
      <c r="O79" s="3"/>
      <c r="P79" s="3"/>
      <c r="Q79" s="3"/>
      <c r="R79" s="3"/>
    </row>
    <row r="80" spans="2:26" ht="15" hidden="1" x14ac:dyDescent="0.25">
      <c r="O80" s="3"/>
      <c r="P80" s="3"/>
    </row>
    <row r="81" spans="15:18" ht="15" hidden="1" x14ac:dyDescent="0.25"/>
    <row r="82" spans="15:18" ht="15" hidden="1" x14ac:dyDescent="0.25">
      <c r="O82" s="3"/>
      <c r="P82" s="3"/>
      <c r="Q82" s="3"/>
      <c r="R82" s="3"/>
    </row>
    <row r="83" spans="15:18" ht="15" hidden="1" x14ac:dyDescent="0.25">
      <c r="O83" s="4"/>
      <c r="P83" s="4"/>
      <c r="Q83" s="4"/>
      <c r="R83" s="4"/>
    </row>
    <row r="84" spans="15:18" ht="15" customHeight="1" x14ac:dyDescent="0.25"/>
    <row r="85" spans="15:18" ht="15" customHeight="1" x14ac:dyDescent="0.25"/>
    <row r="86" spans="15:18" ht="15" customHeight="1" x14ac:dyDescent="0.25"/>
  </sheetData>
  <sheetProtection algorithmName="SHA-512" hashValue="qTNr6hLZ+QRHeX7KFcKxM/lAhlYSUyu3Fnb9oNTWhdNP0o3ej/QnfyR6JlT7hC3O4GaKhwbRxH2M1c0IlP93ug==" saltValue="GjD42kvQPuTF1bgACjF1wg==" spinCount="100000" sheet="1" objects="1" scenarios="1" formatCells="0" insertHyperlinks="0" selectLockedCells="1"/>
  <mergeCells count="165">
    <mergeCell ref="B69:Y69"/>
    <mergeCell ref="B13:F13"/>
    <mergeCell ref="I5:J5"/>
    <mergeCell ref="B11:C11"/>
    <mergeCell ref="R26:S26"/>
    <mergeCell ref="R27:S27"/>
    <mergeCell ref="R28:S28"/>
    <mergeCell ref="F55:G55"/>
    <mergeCell ref="F50:G50"/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R33:S33"/>
    <mergeCell ref="R61:S61"/>
    <mergeCell ref="R60:S60"/>
    <mergeCell ref="R57:S57"/>
    <mergeCell ref="R58:S58"/>
    <mergeCell ref="R59:S59"/>
    <mergeCell ref="O4:P4"/>
    <mergeCell ref="B5:C5"/>
    <mergeCell ref="E10:F10"/>
    <mergeCell ref="I9:J9"/>
    <mergeCell ref="B6:C6"/>
    <mergeCell ref="E6:F6"/>
    <mergeCell ref="H8:J8"/>
    <mergeCell ref="I6:J6"/>
    <mergeCell ref="I10:J10"/>
    <mergeCell ref="M8:N8"/>
    <mergeCell ref="M9:N9"/>
    <mergeCell ref="B9:C9"/>
    <mergeCell ref="M6:N6"/>
    <mergeCell ref="M10:N10"/>
    <mergeCell ref="B4:C4"/>
    <mergeCell ref="M4:N4"/>
    <mergeCell ref="O5:P5"/>
    <mergeCell ref="O6:P6"/>
    <mergeCell ref="B8:C8"/>
    <mergeCell ref="B7:C7"/>
    <mergeCell ref="R36:S36"/>
    <mergeCell ref="R32:S32"/>
    <mergeCell ref="R29:S29"/>
    <mergeCell ref="R31:S31"/>
    <mergeCell ref="R34:S34"/>
    <mergeCell ref="R35:S35"/>
    <mergeCell ref="R52:S52"/>
    <mergeCell ref="R53:S53"/>
    <mergeCell ref="R54:S54"/>
    <mergeCell ref="R30:S30"/>
    <mergeCell ref="R37:S37"/>
    <mergeCell ref="R38:S38"/>
    <mergeCell ref="R39:S39"/>
    <mergeCell ref="F40:G40"/>
    <mergeCell ref="R40:S40"/>
    <mergeCell ref="R41:S41"/>
    <mergeCell ref="R42:S42"/>
    <mergeCell ref="R43:S43"/>
    <mergeCell ref="R44:S44"/>
    <mergeCell ref="F65:G65"/>
    <mergeCell ref="R66:S66"/>
    <mergeCell ref="F66:G66"/>
    <mergeCell ref="F44:G44"/>
    <mergeCell ref="R55:S55"/>
    <mergeCell ref="R45:S45"/>
    <mergeCell ref="R46:S46"/>
    <mergeCell ref="R56:S56"/>
    <mergeCell ref="R47:S47"/>
    <mergeCell ref="R48:S48"/>
    <mergeCell ref="R49:S49"/>
    <mergeCell ref="R50:S50"/>
    <mergeCell ref="R51:S51"/>
    <mergeCell ref="R67:S67"/>
    <mergeCell ref="R65:S65"/>
    <mergeCell ref="F64:G64"/>
    <mergeCell ref="R62:S62"/>
    <mergeCell ref="R63:S63"/>
    <mergeCell ref="R64:S64"/>
    <mergeCell ref="R23:S23"/>
    <mergeCell ref="F20:G20"/>
    <mergeCell ref="F21:G21"/>
    <mergeCell ref="F22:G22"/>
    <mergeCell ref="F23:G23"/>
    <mergeCell ref="F24:G24"/>
    <mergeCell ref="F25:G25"/>
    <mergeCell ref="R24:S24"/>
    <mergeCell ref="R25:S25"/>
    <mergeCell ref="F61:G61"/>
    <mergeCell ref="F58:G58"/>
    <mergeCell ref="F57:G57"/>
    <mergeCell ref="F56:G56"/>
    <mergeCell ref="F60:G60"/>
    <mergeCell ref="F59:G59"/>
    <mergeCell ref="F42:G42"/>
    <mergeCell ref="F41:G41"/>
    <mergeCell ref="F43:G43"/>
    <mergeCell ref="R18:S18"/>
    <mergeCell ref="R16:S16"/>
    <mergeCell ref="O12:P12"/>
    <mergeCell ref="O13:P13"/>
    <mergeCell ref="E8:F8"/>
    <mergeCell ref="Q10:R10"/>
    <mergeCell ref="Q11:R11"/>
    <mergeCell ref="O7:P7"/>
    <mergeCell ref="Q8:R8"/>
    <mergeCell ref="M13:N13"/>
    <mergeCell ref="I11:J11"/>
    <mergeCell ref="I7:J7"/>
    <mergeCell ref="E7:F7"/>
    <mergeCell ref="E9:F9"/>
    <mergeCell ref="M7:N7"/>
    <mergeCell ref="O8:P8"/>
    <mergeCell ref="O9:P9"/>
    <mergeCell ref="B1:L1"/>
    <mergeCell ref="B2:L2"/>
    <mergeCell ref="G13:L13"/>
    <mergeCell ref="B15:I15"/>
    <mergeCell ref="B10:C10"/>
    <mergeCell ref="I4:J4"/>
    <mergeCell ref="U15:W15"/>
    <mergeCell ref="M15:O15"/>
    <mergeCell ref="F63:G63"/>
    <mergeCell ref="F62:G62"/>
    <mergeCell ref="K4:L11"/>
    <mergeCell ref="R15:T15"/>
    <mergeCell ref="F16:G16"/>
    <mergeCell ref="F35:G35"/>
    <mergeCell ref="F34:G34"/>
    <mergeCell ref="F18:G18"/>
    <mergeCell ref="F30:G30"/>
    <mergeCell ref="F29:G29"/>
    <mergeCell ref="F28:G28"/>
    <mergeCell ref="F27:G27"/>
    <mergeCell ref="F26:G26"/>
    <mergeCell ref="F32:G32"/>
    <mergeCell ref="F31:G31"/>
    <mergeCell ref="E11:F11"/>
    <mergeCell ref="F36:G36"/>
    <mergeCell ref="F37:G37"/>
    <mergeCell ref="F38:G38"/>
    <mergeCell ref="F39:G39"/>
    <mergeCell ref="E4:F4"/>
    <mergeCell ref="Q6:R6"/>
    <mergeCell ref="Q9:R9"/>
    <mergeCell ref="Q7:R7"/>
    <mergeCell ref="O10:P10"/>
    <mergeCell ref="O11:P11"/>
    <mergeCell ref="E5:F5"/>
    <mergeCell ref="J15:K15"/>
    <mergeCell ref="F33:G33"/>
    <mergeCell ref="Q4:R4"/>
    <mergeCell ref="M5:N5"/>
    <mergeCell ref="R19:S19"/>
    <mergeCell ref="R20:S20"/>
    <mergeCell ref="R21:S21"/>
    <mergeCell ref="R22:S22"/>
    <mergeCell ref="R17:S17"/>
    <mergeCell ref="F17:G17"/>
    <mergeCell ref="F19:G19"/>
    <mergeCell ref="M11:N11"/>
    <mergeCell ref="M12:N12"/>
  </mergeCells>
  <conditionalFormatting sqref="B9 E9">
    <cfRule type="cellIs" dxfId="13" priority="8" stopIfTrue="1" operator="greaterThan">
      <formula>$B$9</formula>
    </cfRule>
  </conditionalFormatting>
  <conditionalFormatting sqref="B18:B66">
    <cfRule type="cellIs" dxfId="12" priority="54" stopIfTrue="1" operator="equal">
      <formula>0</formula>
    </cfRule>
  </conditionalFormatting>
  <conditionalFormatting sqref="C18:C66">
    <cfRule type="expression" dxfId="11" priority="19" stopIfTrue="1">
      <formula>IF(B18=0,C18)</formula>
    </cfRule>
  </conditionalFormatting>
  <conditionalFormatting sqref="E18:E66">
    <cfRule type="expression" dxfId="10" priority="13" stopIfTrue="1">
      <formula>IF(B18=0,C18)</formula>
    </cfRule>
  </conditionalFormatting>
  <conditionalFormatting sqref="E11:F11">
    <cfRule type="cellIs" dxfId="9" priority="6" operator="lessThan">
      <formula>0</formula>
    </cfRule>
    <cfRule type="cellIs" dxfId="8" priority="7" operator="greaterThanOrEqual">
      <formula>0</formula>
    </cfRule>
  </conditionalFormatting>
  <conditionalFormatting sqref="H9:I9">
    <cfRule type="cellIs" dxfId="7" priority="59" stopIfTrue="1" operator="greaterThanOrEqual">
      <formula>0</formula>
    </cfRule>
    <cfRule type="cellIs" dxfId="6" priority="60" stopIfTrue="1" operator="lessThan">
      <formula>0</formula>
    </cfRule>
  </conditionalFormatting>
  <conditionalFormatting sqref="R5">
    <cfRule type="cellIs" dxfId="5" priority="11" stopIfTrue="1" operator="equal">
      <formula>"Com Sobra"</formula>
    </cfRule>
    <cfRule type="cellIs" dxfId="4" priority="12" stopIfTrue="1" operator="equal">
      <formula>"Rever"</formula>
    </cfRule>
  </conditionalFormatting>
  <conditionalFormatting sqref="X17:Z66">
    <cfRule type="cellIs" dxfId="3" priority="1" stopIfTrue="1" operator="greaterThan">
      <formula>#REF!</formula>
    </cfRule>
  </conditionalFormatting>
  <hyperlinks>
    <hyperlink ref="Y17" r:id="rId1" xr:uid="{4AA5D56D-B1CB-4118-AFED-D2E80193C9E3}"/>
    <hyperlink ref="Y18" r:id="rId2" xr:uid="{6E918BE2-EE3F-4456-AAA1-955694D0F7EA}"/>
    <hyperlink ref="Y19" r:id="rId3" xr:uid="{AAB87D8B-447E-40F9-919A-E75646D4F672}"/>
    <hyperlink ref="Y21" r:id="rId4" xr:uid="{E0F3278B-A3E2-4715-9FF5-7073D98D45F7}"/>
    <hyperlink ref="Y20" r:id="rId5" xr:uid="{0E5C0C31-2113-4135-886E-7CCA2E69AF4B}"/>
    <hyperlink ref="Y22" r:id="rId6" xr:uid="{BB2713E6-D32D-4F99-B035-97E9622EE204}"/>
    <hyperlink ref="Y23" r:id="rId7" xr:uid="{A29852BD-8CB1-4832-B441-A205D5E43B42}"/>
    <hyperlink ref="Y24" r:id="rId8" xr:uid="{D6660706-FFE6-44D6-BE7F-EA16CD7EEA5D}"/>
  </hyperlinks>
  <pageMargins left="0.25" right="0.25" top="0.75" bottom="0.75" header="0.3" footer="0.3"/>
  <pageSetup paperSize="9" scale="48" orientation="landscape" r:id="rId9"/>
  <drawing r:id="rId10"/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>
    <tabColor theme="8"/>
    <pageSetUpPr fitToPage="1"/>
  </sheetPr>
  <dimension ref="A1:G80"/>
  <sheetViews>
    <sheetView showGridLines="0" zoomScaleNormal="100" workbookViewId="0">
      <selection activeCell="D35" sqref="D35"/>
    </sheetView>
  </sheetViews>
  <sheetFormatPr defaultColWidth="9.140625" defaultRowHeight="15" x14ac:dyDescent="0.25"/>
  <cols>
    <col min="1" max="1" width="8.7109375" bestFit="1" customWidth="1"/>
    <col min="2" max="2" width="19.140625" customWidth="1"/>
    <col min="3" max="3" width="10.28515625" customWidth="1"/>
    <col min="4" max="4" width="36.5703125" bestFit="1" customWidth="1"/>
    <col min="5" max="5" width="49.28515625" customWidth="1"/>
    <col min="6" max="6" width="11" customWidth="1"/>
    <col min="7" max="7" width="75.5703125" customWidth="1"/>
  </cols>
  <sheetData>
    <row r="1" spans="1:7" ht="25.5" customHeight="1" x14ac:dyDescent="0.25">
      <c r="A1" s="228" t="s">
        <v>101</v>
      </c>
      <c r="B1" s="229"/>
      <c r="C1" s="229"/>
      <c r="D1" s="229"/>
      <c r="E1" s="229"/>
      <c r="F1" s="229"/>
      <c r="G1" s="230"/>
    </row>
    <row r="2" spans="1:7" ht="15.75" thickBot="1" x14ac:dyDescent="0.3">
      <c r="A2" s="110" t="s">
        <v>10</v>
      </c>
      <c r="B2" s="111" t="s">
        <v>97</v>
      </c>
      <c r="C2" s="111" t="s">
        <v>102</v>
      </c>
      <c r="D2" s="111" t="s">
        <v>98</v>
      </c>
      <c r="E2" s="111" t="s">
        <v>100</v>
      </c>
      <c r="F2" s="111" t="s">
        <v>4</v>
      </c>
      <c r="G2" s="112" t="s">
        <v>99</v>
      </c>
    </row>
    <row r="3" spans="1:7" x14ac:dyDescent="0.25">
      <c r="A3" s="100"/>
      <c r="B3" s="101"/>
      <c r="C3" s="102"/>
      <c r="D3" s="103"/>
      <c r="E3" s="103"/>
      <c r="F3" s="113"/>
      <c r="G3" s="104"/>
    </row>
    <row r="4" spans="1:7" x14ac:dyDescent="0.25">
      <c r="A4" s="105"/>
      <c r="B4" s="106"/>
      <c r="C4" s="107"/>
      <c r="D4" s="108"/>
      <c r="E4" s="108"/>
      <c r="F4" s="114"/>
      <c r="G4" s="109"/>
    </row>
    <row r="5" spans="1:7" x14ac:dyDescent="0.25">
      <c r="A5" s="105"/>
      <c r="B5" s="106"/>
      <c r="C5" s="107"/>
      <c r="D5" s="108"/>
      <c r="E5" s="108"/>
      <c r="F5" s="114"/>
      <c r="G5" s="109"/>
    </row>
    <row r="6" spans="1:7" x14ac:dyDescent="0.25">
      <c r="A6" s="105"/>
      <c r="B6" s="106"/>
      <c r="C6" s="107"/>
      <c r="D6" s="108"/>
      <c r="E6" s="108"/>
      <c r="F6" s="114"/>
      <c r="G6" s="109"/>
    </row>
    <row r="7" spans="1:7" x14ac:dyDescent="0.25">
      <c r="A7" s="105"/>
      <c r="B7" s="106"/>
      <c r="C7" s="107"/>
      <c r="D7" s="108"/>
      <c r="E7" s="108"/>
      <c r="F7" s="114"/>
      <c r="G7" s="109"/>
    </row>
    <row r="8" spans="1:7" x14ac:dyDescent="0.25">
      <c r="A8" s="105"/>
      <c r="B8" s="106"/>
      <c r="C8" s="107"/>
      <c r="D8" s="108"/>
      <c r="E8" s="108"/>
      <c r="F8" s="114"/>
      <c r="G8" s="109"/>
    </row>
    <row r="9" spans="1:7" x14ac:dyDescent="0.25">
      <c r="A9" s="105"/>
      <c r="B9" s="106"/>
      <c r="C9" s="107"/>
      <c r="D9" s="108"/>
      <c r="E9" s="108"/>
      <c r="F9" s="114"/>
      <c r="G9" s="109"/>
    </row>
    <row r="10" spans="1:7" x14ac:dyDescent="0.25">
      <c r="A10" s="105"/>
      <c r="B10" s="106"/>
      <c r="C10" s="107"/>
      <c r="D10" s="108"/>
      <c r="E10" s="108"/>
      <c r="F10" s="114"/>
      <c r="G10" s="109"/>
    </row>
    <row r="11" spans="1:7" x14ac:dyDescent="0.25">
      <c r="A11" s="105"/>
      <c r="B11" s="106"/>
      <c r="C11" s="107"/>
      <c r="D11" s="108"/>
      <c r="E11" s="108"/>
      <c r="F11" s="114"/>
      <c r="G11" s="109"/>
    </row>
    <row r="12" spans="1:7" x14ac:dyDescent="0.25">
      <c r="A12" s="105"/>
      <c r="B12" s="106"/>
      <c r="C12" s="107"/>
      <c r="D12" s="108"/>
      <c r="E12" s="108"/>
      <c r="F12" s="114"/>
      <c r="G12" s="109"/>
    </row>
    <row r="13" spans="1:7" x14ac:dyDescent="0.25">
      <c r="A13" s="105"/>
      <c r="B13" s="106"/>
      <c r="C13" s="107"/>
      <c r="D13" s="108"/>
      <c r="E13" s="108"/>
      <c r="F13" s="114"/>
      <c r="G13" s="109"/>
    </row>
    <row r="14" spans="1:7" x14ac:dyDescent="0.25">
      <c r="A14" s="105"/>
      <c r="B14" s="106"/>
      <c r="C14" s="107"/>
      <c r="D14" s="108"/>
      <c r="E14" s="108"/>
      <c r="F14" s="114"/>
      <c r="G14" s="109"/>
    </row>
    <row r="15" spans="1:7" x14ac:dyDescent="0.25">
      <c r="A15" s="105"/>
      <c r="B15" s="106"/>
      <c r="C15" s="107"/>
      <c r="D15" s="108"/>
      <c r="E15" s="108"/>
      <c r="F15" s="114"/>
      <c r="G15" s="109"/>
    </row>
    <row r="16" spans="1:7" x14ac:dyDescent="0.25">
      <c r="A16" s="105"/>
      <c r="B16" s="106"/>
      <c r="C16" s="107"/>
      <c r="D16" s="108"/>
      <c r="E16" s="108"/>
      <c r="F16" s="114"/>
      <c r="G16" s="109"/>
    </row>
    <row r="17" spans="1:7" x14ac:dyDescent="0.25">
      <c r="A17" s="105"/>
      <c r="B17" s="106"/>
      <c r="C17" s="107"/>
      <c r="D17" s="108"/>
      <c r="E17" s="108"/>
      <c r="F17" s="114"/>
      <c r="G17" s="109"/>
    </row>
    <row r="18" spans="1:7" x14ac:dyDescent="0.25">
      <c r="A18" s="105"/>
      <c r="B18" s="106"/>
      <c r="C18" s="107"/>
      <c r="D18" s="108"/>
      <c r="E18" s="108"/>
      <c r="F18" s="114"/>
      <c r="G18" s="109"/>
    </row>
    <row r="19" spans="1:7" x14ac:dyDescent="0.25">
      <c r="A19" s="105"/>
      <c r="B19" s="106"/>
      <c r="C19" s="107"/>
      <c r="D19" s="108"/>
      <c r="E19" s="108"/>
      <c r="F19" s="114"/>
      <c r="G19" s="109"/>
    </row>
    <row r="20" spans="1:7" x14ac:dyDescent="0.25">
      <c r="A20" s="105"/>
      <c r="B20" s="106"/>
      <c r="C20" s="107"/>
      <c r="D20" s="108"/>
      <c r="E20" s="108"/>
      <c r="F20" s="114"/>
      <c r="G20" s="109"/>
    </row>
    <row r="21" spans="1:7" x14ac:dyDescent="0.25">
      <c r="A21" s="105"/>
      <c r="B21" s="106"/>
      <c r="C21" s="107"/>
      <c r="D21" s="108"/>
      <c r="E21" s="108"/>
      <c r="F21" s="114"/>
      <c r="G21" s="109"/>
    </row>
    <row r="22" spans="1:7" x14ac:dyDescent="0.25">
      <c r="A22" s="105"/>
      <c r="B22" s="106"/>
      <c r="C22" s="107"/>
      <c r="D22" s="108"/>
      <c r="E22" s="108"/>
      <c r="F22" s="114"/>
      <c r="G22" s="109"/>
    </row>
    <row r="23" spans="1:7" x14ac:dyDescent="0.25">
      <c r="A23" s="105"/>
      <c r="B23" s="106"/>
      <c r="C23" s="107"/>
      <c r="D23" s="108"/>
      <c r="E23" s="108"/>
      <c r="F23" s="114"/>
      <c r="G23" s="109"/>
    </row>
    <row r="24" spans="1:7" x14ac:dyDescent="0.25">
      <c r="A24" s="105"/>
      <c r="B24" s="106"/>
      <c r="C24" s="107"/>
      <c r="D24" s="108"/>
      <c r="E24" s="108"/>
      <c r="F24" s="114"/>
      <c r="G24" s="109"/>
    </row>
    <row r="25" spans="1:7" x14ac:dyDescent="0.25">
      <c r="A25" s="105"/>
      <c r="B25" s="106"/>
      <c r="C25" s="107"/>
      <c r="D25" s="108"/>
      <c r="E25" s="108"/>
      <c r="F25" s="114"/>
      <c r="G25" s="109"/>
    </row>
    <row r="26" spans="1:7" x14ac:dyDescent="0.25">
      <c r="A26" s="105"/>
      <c r="B26" s="106"/>
      <c r="C26" s="107"/>
      <c r="D26" s="108"/>
      <c r="E26" s="108"/>
      <c r="F26" s="114"/>
      <c r="G26" s="109"/>
    </row>
    <row r="27" spans="1:7" x14ac:dyDescent="0.25">
      <c r="A27" s="105"/>
      <c r="B27" s="106"/>
      <c r="C27" s="107"/>
      <c r="D27" s="108"/>
      <c r="E27" s="108"/>
      <c r="F27" s="114"/>
      <c r="G27" s="109"/>
    </row>
    <row r="28" spans="1:7" x14ac:dyDescent="0.25">
      <c r="A28" s="105"/>
      <c r="B28" s="106"/>
      <c r="C28" s="107"/>
      <c r="D28" s="108"/>
      <c r="E28" s="108"/>
      <c r="F28" s="114"/>
      <c r="G28" s="109"/>
    </row>
    <row r="29" spans="1:7" x14ac:dyDescent="0.25">
      <c r="A29" s="105"/>
      <c r="B29" s="106"/>
      <c r="C29" s="107"/>
      <c r="D29" s="108"/>
      <c r="E29" s="108"/>
      <c r="F29" s="114"/>
      <c r="G29" s="109"/>
    </row>
    <row r="30" spans="1:7" x14ac:dyDescent="0.25">
      <c r="A30" s="105"/>
      <c r="B30" s="106"/>
      <c r="C30" s="107"/>
      <c r="D30" s="108"/>
      <c r="E30" s="108"/>
      <c r="F30" s="114"/>
      <c r="G30" s="109"/>
    </row>
    <row r="31" spans="1:7" x14ac:dyDescent="0.25">
      <c r="A31" s="105"/>
      <c r="B31" s="106"/>
      <c r="C31" s="107"/>
      <c r="D31" s="108"/>
      <c r="E31" s="108"/>
      <c r="F31" s="114"/>
      <c r="G31" s="109"/>
    </row>
    <row r="32" spans="1:7" x14ac:dyDescent="0.25">
      <c r="A32" s="105"/>
      <c r="B32" s="106"/>
      <c r="C32" s="107"/>
      <c r="D32" s="108"/>
      <c r="E32" s="108"/>
      <c r="F32" s="114"/>
      <c r="G32" s="109"/>
    </row>
    <row r="33" spans="1:7" x14ac:dyDescent="0.25">
      <c r="A33" s="105"/>
      <c r="B33" s="106"/>
      <c r="C33" s="107"/>
      <c r="D33" s="108"/>
      <c r="E33" s="108"/>
      <c r="F33" s="114"/>
      <c r="G33" s="109"/>
    </row>
    <row r="34" spans="1:7" x14ac:dyDescent="0.25">
      <c r="A34" s="105"/>
      <c r="B34" s="106"/>
      <c r="C34" s="107"/>
      <c r="D34" s="108"/>
      <c r="E34" s="108"/>
      <c r="F34" s="114"/>
      <c r="G34" s="109"/>
    </row>
    <row r="35" spans="1:7" x14ac:dyDescent="0.25">
      <c r="A35" s="105"/>
      <c r="B35" s="106"/>
      <c r="C35" s="107"/>
      <c r="D35" s="108"/>
      <c r="E35" s="108"/>
      <c r="F35" s="114"/>
      <c r="G35" s="109"/>
    </row>
    <row r="36" spans="1:7" x14ac:dyDescent="0.25">
      <c r="A36" s="105"/>
      <c r="B36" s="106"/>
      <c r="C36" s="107"/>
      <c r="D36" s="108"/>
      <c r="E36" s="108"/>
      <c r="F36" s="114"/>
      <c r="G36" s="109"/>
    </row>
    <row r="37" spans="1:7" x14ac:dyDescent="0.25">
      <c r="A37" s="105"/>
      <c r="B37" s="106"/>
      <c r="C37" s="107"/>
      <c r="D37" s="108"/>
      <c r="E37" s="108"/>
      <c r="F37" s="114"/>
      <c r="G37" s="109"/>
    </row>
    <row r="38" spans="1:7" x14ac:dyDescent="0.25">
      <c r="A38" s="105"/>
      <c r="B38" s="106"/>
      <c r="C38" s="107"/>
      <c r="D38" s="108"/>
      <c r="E38" s="108"/>
      <c r="F38" s="114"/>
      <c r="G38" s="109"/>
    </row>
    <row r="39" spans="1:7" x14ac:dyDescent="0.25">
      <c r="A39" s="105"/>
      <c r="B39" s="106"/>
      <c r="C39" s="107"/>
      <c r="D39" s="108"/>
      <c r="E39" s="108"/>
      <c r="F39" s="114"/>
      <c r="G39" s="109"/>
    </row>
    <row r="40" spans="1:7" x14ac:dyDescent="0.25">
      <c r="A40" s="105"/>
      <c r="B40" s="106"/>
      <c r="C40" s="107"/>
      <c r="D40" s="108"/>
      <c r="E40" s="108"/>
      <c r="F40" s="114"/>
      <c r="G40" s="109"/>
    </row>
    <row r="41" spans="1:7" x14ac:dyDescent="0.25">
      <c r="A41" s="105"/>
      <c r="B41" s="106"/>
      <c r="C41" s="107"/>
      <c r="D41" s="108"/>
      <c r="E41" s="108"/>
      <c r="F41" s="114"/>
      <c r="G41" s="109"/>
    </row>
    <row r="42" spans="1:7" x14ac:dyDescent="0.25">
      <c r="A42" s="105"/>
      <c r="B42" s="106"/>
      <c r="C42" s="107"/>
      <c r="D42" s="108"/>
      <c r="E42" s="108"/>
      <c r="F42" s="114"/>
      <c r="G42" s="109"/>
    </row>
    <row r="43" spans="1:7" x14ac:dyDescent="0.25">
      <c r="A43" s="105"/>
      <c r="B43" s="106"/>
      <c r="C43" s="107"/>
      <c r="D43" s="108"/>
      <c r="E43" s="108"/>
      <c r="F43" s="114"/>
      <c r="G43" s="109"/>
    </row>
    <row r="44" spans="1:7" x14ac:dyDescent="0.25">
      <c r="A44" s="105"/>
      <c r="B44" s="106"/>
      <c r="C44" s="107"/>
      <c r="D44" s="108"/>
      <c r="E44" s="108"/>
      <c r="F44" s="114"/>
      <c r="G44" s="109"/>
    </row>
    <row r="45" spans="1:7" x14ac:dyDescent="0.25">
      <c r="A45" s="105"/>
      <c r="B45" s="106"/>
      <c r="C45" s="107"/>
      <c r="D45" s="108"/>
      <c r="E45" s="108"/>
      <c r="F45" s="114"/>
      <c r="G45" s="109"/>
    </row>
    <row r="46" spans="1:7" x14ac:dyDescent="0.25">
      <c r="A46" s="105"/>
      <c r="B46" s="106"/>
      <c r="C46" s="107"/>
      <c r="D46" s="108"/>
      <c r="E46" s="108"/>
      <c r="F46" s="114"/>
      <c r="G46" s="109"/>
    </row>
    <row r="47" spans="1:7" x14ac:dyDescent="0.25">
      <c r="A47" s="105"/>
      <c r="B47" s="106"/>
      <c r="C47" s="107"/>
      <c r="D47" s="108"/>
      <c r="E47" s="108"/>
      <c r="F47" s="114"/>
      <c r="G47" s="109"/>
    </row>
    <row r="48" spans="1:7" x14ac:dyDescent="0.25">
      <c r="A48" s="105"/>
      <c r="B48" s="106"/>
      <c r="C48" s="107"/>
      <c r="D48" s="108"/>
      <c r="E48" s="108"/>
      <c r="F48" s="114"/>
      <c r="G48" s="109"/>
    </row>
    <row r="49" spans="1:7" x14ac:dyDescent="0.25">
      <c r="A49" s="105"/>
      <c r="B49" s="106"/>
      <c r="C49" s="107"/>
      <c r="D49" s="108"/>
      <c r="E49" s="108"/>
      <c r="F49" s="114"/>
      <c r="G49" s="109"/>
    </row>
    <row r="50" spans="1:7" x14ac:dyDescent="0.25">
      <c r="A50" s="105"/>
      <c r="B50" s="106"/>
      <c r="C50" s="107"/>
      <c r="D50" s="108"/>
      <c r="E50" s="108"/>
      <c r="F50" s="114"/>
      <c r="G50" s="109"/>
    </row>
    <row r="51" spans="1:7" x14ac:dyDescent="0.25">
      <c r="A51" s="105"/>
      <c r="B51" s="106"/>
      <c r="C51" s="107"/>
      <c r="D51" s="108"/>
      <c r="E51" s="108"/>
      <c r="F51" s="114"/>
      <c r="G51" s="109"/>
    </row>
    <row r="52" spans="1:7" x14ac:dyDescent="0.25">
      <c r="A52" s="105"/>
      <c r="B52" s="106"/>
      <c r="C52" s="107"/>
      <c r="D52" s="108"/>
      <c r="E52" s="108"/>
      <c r="F52" s="114"/>
      <c r="G52" s="109"/>
    </row>
    <row r="53" spans="1:7" x14ac:dyDescent="0.25">
      <c r="A53" s="105"/>
      <c r="B53" s="106"/>
      <c r="C53" s="107"/>
      <c r="D53" s="108"/>
      <c r="E53" s="108"/>
      <c r="F53" s="114"/>
      <c r="G53" s="109"/>
    </row>
    <row r="54" spans="1:7" x14ac:dyDescent="0.25">
      <c r="A54" s="105"/>
      <c r="B54" s="106"/>
      <c r="C54" s="107"/>
      <c r="D54" s="108"/>
      <c r="E54" s="108"/>
      <c r="F54" s="114"/>
      <c r="G54" s="109"/>
    </row>
    <row r="55" spans="1:7" x14ac:dyDescent="0.25">
      <c r="A55" s="105"/>
      <c r="B55" s="106"/>
      <c r="C55" s="107"/>
      <c r="D55" s="108"/>
      <c r="E55" s="108"/>
      <c r="F55" s="114"/>
      <c r="G55" s="109"/>
    </row>
    <row r="56" spans="1:7" x14ac:dyDescent="0.25">
      <c r="A56" s="105"/>
      <c r="B56" s="106"/>
      <c r="C56" s="107"/>
      <c r="D56" s="108"/>
      <c r="E56" s="108"/>
      <c r="F56" s="114"/>
      <c r="G56" s="109"/>
    </row>
    <row r="57" spans="1:7" x14ac:dyDescent="0.25">
      <c r="A57" s="105"/>
      <c r="B57" s="106"/>
      <c r="C57" s="107"/>
      <c r="D57" s="108"/>
      <c r="E57" s="108"/>
      <c r="F57" s="114"/>
      <c r="G57" s="109"/>
    </row>
    <row r="58" spans="1:7" x14ac:dyDescent="0.25">
      <c r="A58" s="105"/>
      <c r="B58" s="106"/>
      <c r="C58" s="107"/>
      <c r="D58" s="108"/>
      <c r="E58" s="108"/>
      <c r="F58" s="114"/>
      <c r="G58" s="109"/>
    </row>
    <row r="59" spans="1:7" x14ac:dyDescent="0.25">
      <c r="A59" s="105"/>
      <c r="B59" s="106"/>
      <c r="C59" s="107"/>
      <c r="D59" s="108"/>
      <c r="E59" s="108"/>
      <c r="F59" s="114"/>
      <c r="G59" s="109"/>
    </row>
    <row r="60" spans="1:7" x14ac:dyDescent="0.25">
      <c r="A60" s="105"/>
      <c r="B60" s="106"/>
      <c r="C60" s="107"/>
      <c r="D60" s="108"/>
      <c r="E60" s="108"/>
      <c r="F60" s="114"/>
      <c r="G60" s="109"/>
    </row>
    <row r="61" spans="1:7" x14ac:dyDescent="0.25">
      <c r="A61" s="105"/>
      <c r="B61" s="106"/>
      <c r="C61" s="107"/>
      <c r="D61" s="108"/>
      <c r="E61" s="108"/>
      <c r="F61" s="114"/>
      <c r="G61" s="109"/>
    </row>
    <row r="62" spans="1:7" x14ac:dyDescent="0.25">
      <c r="A62" s="105"/>
      <c r="B62" s="106"/>
      <c r="C62" s="107"/>
      <c r="D62" s="108"/>
      <c r="E62" s="108"/>
      <c r="F62" s="114"/>
      <c r="G62" s="109"/>
    </row>
    <row r="63" spans="1:7" x14ac:dyDescent="0.25">
      <c r="A63" s="105"/>
      <c r="B63" s="106"/>
      <c r="C63" s="107"/>
      <c r="D63" s="108"/>
      <c r="E63" s="108"/>
      <c r="F63" s="114"/>
      <c r="G63" s="109"/>
    </row>
    <row r="64" spans="1:7" x14ac:dyDescent="0.25">
      <c r="A64" s="105"/>
      <c r="B64" s="106"/>
      <c r="C64" s="107"/>
      <c r="D64" s="108"/>
      <c r="E64" s="108"/>
      <c r="F64" s="114"/>
      <c r="G64" s="109"/>
    </row>
    <row r="65" spans="1:7" x14ac:dyDescent="0.25">
      <c r="A65" s="105"/>
      <c r="B65" s="106"/>
      <c r="C65" s="107"/>
      <c r="D65" s="108"/>
      <c r="E65" s="108"/>
      <c r="F65" s="114"/>
      <c r="G65" s="109"/>
    </row>
    <row r="66" spans="1:7" x14ac:dyDescent="0.25">
      <c r="A66" s="105"/>
      <c r="B66" s="106"/>
      <c r="C66" s="107"/>
      <c r="D66" s="108"/>
      <c r="E66" s="108"/>
      <c r="F66" s="114"/>
      <c r="G66" s="109"/>
    </row>
    <row r="67" spans="1:7" x14ac:dyDescent="0.25">
      <c r="A67" s="105"/>
      <c r="B67" s="106"/>
      <c r="C67" s="107"/>
      <c r="D67" s="108"/>
      <c r="E67" s="108"/>
      <c r="F67" s="114"/>
      <c r="G67" s="109"/>
    </row>
    <row r="68" spans="1:7" x14ac:dyDescent="0.25">
      <c r="A68" s="105"/>
      <c r="B68" s="106"/>
      <c r="C68" s="107"/>
      <c r="D68" s="108"/>
      <c r="E68" s="108"/>
      <c r="F68" s="114"/>
      <c r="G68" s="109"/>
    </row>
    <row r="69" spans="1:7" x14ac:dyDescent="0.25">
      <c r="A69" s="105"/>
      <c r="B69" s="106"/>
      <c r="C69" s="107"/>
      <c r="D69" s="108"/>
      <c r="E69" s="108"/>
      <c r="F69" s="114"/>
      <c r="G69" s="109"/>
    </row>
    <row r="70" spans="1:7" x14ac:dyDescent="0.25">
      <c r="A70" s="105"/>
      <c r="B70" s="106"/>
      <c r="C70" s="107"/>
      <c r="D70" s="108"/>
      <c r="E70" s="108"/>
      <c r="F70" s="114"/>
      <c r="G70" s="109"/>
    </row>
    <row r="71" spans="1:7" x14ac:dyDescent="0.25">
      <c r="A71" s="105"/>
      <c r="B71" s="106"/>
      <c r="C71" s="107"/>
      <c r="D71" s="108"/>
      <c r="E71" s="108"/>
      <c r="F71" s="114"/>
      <c r="G71" s="109"/>
    </row>
    <row r="72" spans="1:7" x14ac:dyDescent="0.25">
      <c r="A72" s="105"/>
      <c r="B72" s="106"/>
      <c r="C72" s="107"/>
      <c r="D72" s="108"/>
      <c r="E72" s="108"/>
      <c r="F72" s="114"/>
      <c r="G72" s="109"/>
    </row>
    <row r="73" spans="1:7" x14ac:dyDescent="0.25">
      <c r="A73" s="105"/>
      <c r="B73" s="106"/>
      <c r="C73" s="107"/>
      <c r="D73" s="108"/>
      <c r="E73" s="108"/>
      <c r="F73" s="114"/>
      <c r="G73" s="109"/>
    </row>
    <row r="74" spans="1:7" x14ac:dyDescent="0.25">
      <c r="A74" s="105"/>
      <c r="B74" s="106"/>
      <c r="C74" s="107"/>
      <c r="D74" s="108"/>
      <c r="E74" s="108"/>
      <c r="F74" s="114"/>
      <c r="G74" s="109"/>
    </row>
    <row r="75" spans="1:7" x14ac:dyDescent="0.25">
      <c r="A75" s="105"/>
      <c r="B75" s="106"/>
      <c r="C75" s="107"/>
      <c r="D75" s="108"/>
      <c r="E75" s="108"/>
      <c r="F75" s="114"/>
      <c r="G75" s="109"/>
    </row>
    <row r="76" spans="1:7" x14ac:dyDescent="0.25">
      <c r="A76" s="105"/>
      <c r="B76" s="106"/>
      <c r="C76" s="107"/>
      <c r="D76" s="108"/>
      <c r="E76" s="108"/>
      <c r="F76" s="114"/>
      <c r="G76" s="109"/>
    </row>
    <row r="77" spans="1:7" x14ac:dyDescent="0.25">
      <c r="A77" s="105"/>
      <c r="B77" s="106"/>
      <c r="C77" s="107"/>
      <c r="D77" s="108"/>
      <c r="E77" s="108"/>
      <c r="F77" s="114"/>
      <c r="G77" s="109"/>
    </row>
    <row r="78" spans="1:7" x14ac:dyDescent="0.25">
      <c r="A78" s="105"/>
      <c r="B78" s="106"/>
      <c r="C78" s="107"/>
      <c r="D78" s="108"/>
      <c r="E78" s="108"/>
      <c r="F78" s="114"/>
      <c r="G78" s="109"/>
    </row>
    <row r="79" spans="1:7" x14ac:dyDescent="0.25">
      <c r="A79" s="105"/>
      <c r="B79" s="106"/>
      <c r="C79" s="107"/>
      <c r="D79" s="108"/>
      <c r="E79" s="108"/>
      <c r="F79" s="114"/>
      <c r="G79" s="109"/>
    </row>
    <row r="80" spans="1:7" ht="15.75" thickBot="1" x14ac:dyDescent="0.3">
      <c r="A80" s="115"/>
      <c r="B80" s="116"/>
      <c r="C80" s="117"/>
      <c r="D80" s="118"/>
      <c r="E80" s="118"/>
      <c r="F80" s="120">
        <f>SUM(F3:F79)</f>
        <v>0</v>
      </c>
      <c r="G80" s="119"/>
    </row>
  </sheetData>
  <sheetProtection algorithmName="SHA-512" hashValue="MHTsB+KUQd6XdrXgC1ZHGwAp3NZ1ojx3Z3iQtTOepYvWRjujhGv9KvNP28iptzgT8uwM/KknJ7weNM6I2j5aFw==" saltValue="M3H1eKJr7ZoeXFX5sBKhbQ==" spinCount="100000" sheet="1" objects="1" scenarios="1"/>
  <mergeCells count="1">
    <mergeCell ref="A1:G1"/>
  </mergeCells>
  <pageMargins left="0.23622047244094491" right="0.23622047244094491" top="0.74803149606299213" bottom="0.74803149606299213" header="0.31496062992125984" footer="0.31496062992125984"/>
  <pageSetup paperSize="9" scale="47" orientation="portrait" horizontalDpi="0" verticalDpi="0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">
    <tabColor rgb="FFFF0000"/>
  </sheetPr>
  <dimension ref="A1:AG43"/>
  <sheetViews>
    <sheetView showGridLines="0" showRowColHeaders="0" workbookViewId="0">
      <selection activeCell="J27" sqref="J27"/>
    </sheetView>
  </sheetViews>
  <sheetFormatPr defaultColWidth="0" defaultRowHeight="12.75" zeroHeight="1" x14ac:dyDescent="0.2"/>
  <cols>
    <col min="1" max="23" width="3.7109375" style="6" customWidth="1"/>
    <col min="24" max="24" width="1.7109375" style="6" hidden="1" customWidth="1"/>
    <col min="25" max="25" width="3.7109375" style="6" hidden="1" customWidth="1"/>
    <col min="26" max="26" width="4.85546875" style="6" hidden="1" customWidth="1"/>
    <col min="27" max="27" width="9" style="6" hidden="1" customWidth="1"/>
    <col min="28" max="28" width="16.28515625" style="6" hidden="1" customWidth="1"/>
    <col min="29" max="29" width="12.7109375" style="6" hidden="1" customWidth="1"/>
    <col min="30" max="30" width="19.5703125" style="6" hidden="1" customWidth="1"/>
    <col min="31" max="31" width="12.7109375" style="6" hidden="1" customWidth="1"/>
    <col min="32" max="32" width="16" style="6" hidden="1" customWidth="1"/>
    <col min="33" max="33" width="12.7109375" style="6" hidden="1" customWidth="1"/>
    <col min="34" max="16384" width="3.7109375" style="6" hidden="1"/>
  </cols>
  <sheetData>
    <row r="1" spans="1:33" ht="13.5" thickBot="1" x14ac:dyDescent="0.2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33" ht="20.25" thickBot="1" x14ac:dyDescent="0.3">
      <c r="A2" s="48" t="s">
        <v>81</v>
      </c>
      <c r="B2" s="47"/>
      <c r="C2" s="231">
        <f>$AA$2</f>
        <v>2026</v>
      </c>
      <c r="D2" s="232"/>
      <c r="E2" s="233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Z2" s="49" t="s">
        <v>81</v>
      </c>
      <c r="AA2" s="50">
        <v>2026</v>
      </c>
      <c r="AB2" s="49" t="s">
        <v>82</v>
      </c>
      <c r="AC2" s="51" t="b">
        <v>1</v>
      </c>
      <c r="AD2" s="49" t="s">
        <v>83</v>
      </c>
      <c r="AE2" s="51" t="b">
        <v>0</v>
      </c>
      <c r="AF2" s="49" t="s">
        <v>84</v>
      </c>
      <c r="AG2" s="51" t="b">
        <v>0</v>
      </c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33" ht="19.5" x14ac:dyDescent="0.25">
      <c r="A4" s="58" t="s">
        <v>85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 t="str">
        <f>TEXT(ano,"0000")</f>
        <v>2026</v>
      </c>
    </row>
    <row r="5" spans="1:33" ht="15.95" customHeight="1" x14ac:dyDescent="0.2">
      <c r="AA5" s="52"/>
      <c r="AB5" s="52"/>
    </row>
    <row r="6" spans="1:33" x14ac:dyDescent="0.2">
      <c r="A6" s="61">
        <f>DATE(ano,1,1)</f>
        <v>46023</v>
      </c>
      <c r="B6" s="62"/>
      <c r="C6" s="62"/>
      <c r="D6" s="62"/>
      <c r="E6" s="62"/>
      <c r="F6" s="62"/>
      <c r="G6" s="63"/>
      <c r="I6" s="61">
        <f>DATE(ano,2,1)</f>
        <v>46054</v>
      </c>
      <c r="J6" s="62"/>
      <c r="K6" s="62"/>
      <c r="L6" s="62"/>
      <c r="M6" s="62"/>
      <c r="N6" s="62"/>
      <c r="O6" s="63"/>
      <c r="Q6" s="61">
        <f>DATE(ano,3,1)</f>
        <v>46082</v>
      </c>
      <c r="R6" s="62"/>
      <c r="S6" s="62"/>
      <c r="T6" s="62"/>
      <c r="U6" s="62"/>
      <c r="V6" s="62"/>
      <c r="W6" s="63"/>
    </row>
    <row r="7" spans="1:33" x14ac:dyDescent="0.2">
      <c r="A7" s="53" t="s">
        <v>19</v>
      </c>
      <c r="B7" s="54" t="s">
        <v>16</v>
      </c>
      <c r="C7" s="54" t="s">
        <v>17</v>
      </c>
      <c r="D7" s="54" t="s">
        <v>18</v>
      </c>
      <c r="E7" s="54" t="s">
        <v>18</v>
      </c>
      <c r="F7" s="54" t="s">
        <v>16</v>
      </c>
      <c r="G7" s="55" t="s">
        <v>16</v>
      </c>
      <c r="I7" s="53" t="str">
        <f t="shared" ref="I7:O7" si="0">A7</f>
        <v>D</v>
      </c>
      <c r="J7" s="54" t="str">
        <f t="shared" si="0"/>
        <v>S</v>
      </c>
      <c r="K7" s="54" t="str">
        <f t="shared" si="0"/>
        <v>T</v>
      </c>
      <c r="L7" s="54" t="str">
        <f t="shared" si="0"/>
        <v>Q</v>
      </c>
      <c r="M7" s="54" t="str">
        <f t="shared" si="0"/>
        <v>Q</v>
      </c>
      <c r="N7" s="54" t="str">
        <f t="shared" si="0"/>
        <v>S</v>
      </c>
      <c r="O7" s="55" t="str">
        <f t="shared" si="0"/>
        <v>S</v>
      </c>
      <c r="Q7" s="53" t="str">
        <f t="shared" ref="Q7:W7" si="1">I7</f>
        <v>D</v>
      </c>
      <c r="R7" s="54" t="str">
        <f t="shared" si="1"/>
        <v>S</v>
      </c>
      <c r="S7" s="54" t="str">
        <f t="shared" si="1"/>
        <v>T</v>
      </c>
      <c r="T7" s="54" t="str">
        <f t="shared" si="1"/>
        <v>Q</v>
      </c>
      <c r="U7" s="54" t="str">
        <f t="shared" si="1"/>
        <v>Q</v>
      </c>
      <c r="V7" s="54" t="str">
        <f t="shared" si="1"/>
        <v>S</v>
      </c>
      <c r="W7" s="55" t="str">
        <f t="shared" si="1"/>
        <v>S</v>
      </c>
    </row>
    <row r="8" spans="1:33" x14ac:dyDescent="0.2">
      <c r="A8" s="57">
        <f>IF( WEEKDAY(_Jan1) = MOD(COLUMN(),8), _Jan1, 0 )</f>
        <v>0</v>
      </c>
      <c r="B8" s="56">
        <f t="shared" ref="B8:G8" si="2">IF( A8&gt;0, A8+1, IF( WEEKDAY(_Jan1)=MOD(COLUMN(),8), _Jan1, 0) )</f>
        <v>0</v>
      </c>
      <c r="C8" s="56">
        <f t="shared" si="2"/>
        <v>0</v>
      </c>
      <c r="D8" s="56">
        <f t="shared" si="2"/>
        <v>0</v>
      </c>
      <c r="E8" s="56">
        <f t="shared" si="2"/>
        <v>46023</v>
      </c>
      <c r="F8" s="56">
        <f t="shared" si="2"/>
        <v>46024</v>
      </c>
      <c r="G8" s="57">
        <f t="shared" si="2"/>
        <v>46025</v>
      </c>
      <c r="I8" s="57">
        <f>IF( WEEKDAY(_Fev1) = MOD(COLUMN(),8), _Fev1, 0 )</f>
        <v>46054</v>
      </c>
      <c r="J8" s="56">
        <f t="shared" ref="J8:O8" si="3">IF( I8&gt;0, I8+1, IF( WEEKDAY(_Fev1)=MOD(COLUMN(),8), _Fev1, 0) )</f>
        <v>46055</v>
      </c>
      <c r="K8" s="56">
        <f t="shared" si="3"/>
        <v>46056</v>
      </c>
      <c r="L8" s="56">
        <f t="shared" si="3"/>
        <v>46057</v>
      </c>
      <c r="M8" s="56">
        <f t="shared" si="3"/>
        <v>46058</v>
      </c>
      <c r="N8" s="56">
        <f t="shared" si="3"/>
        <v>46059</v>
      </c>
      <c r="O8" s="57">
        <f t="shared" si="3"/>
        <v>46060</v>
      </c>
      <c r="Q8" s="57">
        <f>IF( WEEKDAY(_Mar1) = MOD(COLUMN(),8), _Mar1, 0 )</f>
        <v>46082</v>
      </c>
      <c r="R8" s="56">
        <f t="shared" ref="R8:W8" si="4">IF( Q8&gt;0, Q8+1, IF( WEEKDAY(_Mar1)=MOD(COLUMN(),8), _Mar1, 0) )</f>
        <v>46083</v>
      </c>
      <c r="S8" s="56">
        <f t="shared" si="4"/>
        <v>46084</v>
      </c>
      <c r="T8" s="56">
        <f t="shared" si="4"/>
        <v>46085</v>
      </c>
      <c r="U8" s="56">
        <f t="shared" si="4"/>
        <v>46086</v>
      </c>
      <c r="V8" s="56">
        <f t="shared" si="4"/>
        <v>46087</v>
      </c>
      <c r="W8" s="57">
        <f t="shared" si="4"/>
        <v>46088</v>
      </c>
    </row>
    <row r="9" spans="1:33" x14ac:dyDescent="0.2">
      <c r="A9" s="57">
        <f>G8+1</f>
        <v>46026</v>
      </c>
      <c r="B9" s="56">
        <f t="shared" ref="B9:G11" si="5">A9+1</f>
        <v>46027</v>
      </c>
      <c r="C9" s="56">
        <f t="shared" si="5"/>
        <v>46028</v>
      </c>
      <c r="D9" s="56">
        <f t="shared" si="5"/>
        <v>46029</v>
      </c>
      <c r="E9" s="56">
        <f t="shared" si="5"/>
        <v>46030</v>
      </c>
      <c r="F9" s="56">
        <f t="shared" si="5"/>
        <v>46031</v>
      </c>
      <c r="G9" s="57">
        <f t="shared" si="5"/>
        <v>46032</v>
      </c>
      <c r="I9" s="57">
        <f>O8+1</f>
        <v>46061</v>
      </c>
      <c r="J9" s="56">
        <f t="shared" ref="J9:O11" si="6">I9+1</f>
        <v>46062</v>
      </c>
      <c r="K9" s="56">
        <f t="shared" si="6"/>
        <v>46063</v>
      </c>
      <c r="L9" s="56">
        <f t="shared" si="6"/>
        <v>46064</v>
      </c>
      <c r="M9" s="56">
        <f t="shared" si="6"/>
        <v>46065</v>
      </c>
      <c r="N9" s="56">
        <f t="shared" si="6"/>
        <v>46066</v>
      </c>
      <c r="O9" s="57">
        <f t="shared" si="6"/>
        <v>46067</v>
      </c>
      <c r="Q9" s="57">
        <f>W8+1</f>
        <v>46089</v>
      </c>
      <c r="R9" s="56">
        <f t="shared" ref="R9:W11" si="7">Q9+1</f>
        <v>46090</v>
      </c>
      <c r="S9" s="56">
        <f t="shared" si="7"/>
        <v>46091</v>
      </c>
      <c r="T9" s="56">
        <f t="shared" si="7"/>
        <v>46092</v>
      </c>
      <c r="U9" s="56">
        <f t="shared" si="7"/>
        <v>46093</v>
      </c>
      <c r="V9" s="56">
        <f t="shared" si="7"/>
        <v>46094</v>
      </c>
      <c r="W9" s="57">
        <f t="shared" si="7"/>
        <v>46095</v>
      </c>
    </row>
    <row r="10" spans="1:33" x14ac:dyDescent="0.2">
      <c r="A10" s="57">
        <f>G9+1</f>
        <v>46033</v>
      </c>
      <c r="B10" s="56">
        <f t="shared" si="5"/>
        <v>46034</v>
      </c>
      <c r="C10" s="56">
        <f t="shared" si="5"/>
        <v>46035</v>
      </c>
      <c r="D10" s="56">
        <f t="shared" si="5"/>
        <v>46036</v>
      </c>
      <c r="E10" s="56">
        <f t="shared" si="5"/>
        <v>46037</v>
      </c>
      <c r="F10" s="56">
        <f t="shared" si="5"/>
        <v>46038</v>
      </c>
      <c r="G10" s="57">
        <f t="shared" si="5"/>
        <v>46039</v>
      </c>
      <c r="I10" s="57">
        <f>O9+1</f>
        <v>46068</v>
      </c>
      <c r="J10" s="56">
        <f t="shared" si="6"/>
        <v>46069</v>
      </c>
      <c r="K10" s="56">
        <f t="shared" si="6"/>
        <v>46070</v>
      </c>
      <c r="L10" s="56">
        <f t="shared" si="6"/>
        <v>46071</v>
      </c>
      <c r="M10" s="56">
        <f t="shared" si="6"/>
        <v>46072</v>
      </c>
      <c r="N10" s="56">
        <f t="shared" si="6"/>
        <v>46073</v>
      </c>
      <c r="O10" s="57">
        <f t="shared" si="6"/>
        <v>46074</v>
      </c>
      <c r="Q10" s="57">
        <f>W9+1</f>
        <v>46096</v>
      </c>
      <c r="R10" s="56">
        <f t="shared" si="7"/>
        <v>46097</v>
      </c>
      <c r="S10" s="56">
        <f t="shared" si="7"/>
        <v>46098</v>
      </c>
      <c r="T10" s="56">
        <f t="shared" si="7"/>
        <v>46099</v>
      </c>
      <c r="U10" s="56">
        <f t="shared" si="7"/>
        <v>46100</v>
      </c>
      <c r="V10" s="56">
        <f t="shared" si="7"/>
        <v>46101</v>
      </c>
      <c r="W10" s="57">
        <f t="shared" si="7"/>
        <v>46102</v>
      </c>
    </row>
    <row r="11" spans="1:33" x14ac:dyDescent="0.2">
      <c r="A11" s="57">
        <f>G10+1</f>
        <v>46040</v>
      </c>
      <c r="B11" s="56">
        <f t="shared" si="5"/>
        <v>46041</v>
      </c>
      <c r="C11" s="56">
        <f t="shared" si="5"/>
        <v>46042</v>
      </c>
      <c r="D11" s="56">
        <f t="shared" si="5"/>
        <v>46043</v>
      </c>
      <c r="E11" s="56">
        <f t="shared" si="5"/>
        <v>46044</v>
      </c>
      <c r="F11" s="56">
        <f t="shared" si="5"/>
        <v>46045</v>
      </c>
      <c r="G11" s="57">
        <f t="shared" si="5"/>
        <v>46046</v>
      </c>
      <c r="I11" s="57">
        <f>O10+1</f>
        <v>46075</v>
      </c>
      <c r="J11" s="56">
        <f t="shared" si="6"/>
        <v>46076</v>
      </c>
      <c r="K11" s="56">
        <f t="shared" si="6"/>
        <v>46077</v>
      </c>
      <c r="L11" s="56">
        <f t="shared" si="6"/>
        <v>46078</v>
      </c>
      <c r="M11" s="56">
        <f t="shared" si="6"/>
        <v>46079</v>
      </c>
      <c r="N11" s="56">
        <f t="shared" si="6"/>
        <v>46080</v>
      </c>
      <c r="O11" s="57">
        <f t="shared" si="6"/>
        <v>46081</v>
      </c>
      <c r="Q11" s="57">
        <f>W10+1</f>
        <v>46103</v>
      </c>
      <c r="R11" s="56">
        <f t="shared" si="7"/>
        <v>46104</v>
      </c>
      <c r="S11" s="56">
        <f t="shared" si="7"/>
        <v>46105</v>
      </c>
      <c r="T11" s="56">
        <f t="shared" si="7"/>
        <v>46106</v>
      </c>
      <c r="U11" s="56">
        <f t="shared" si="7"/>
        <v>46107</v>
      </c>
      <c r="V11" s="56">
        <f t="shared" si="7"/>
        <v>46108</v>
      </c>
      <c r="W11" s="57">
        <f t="shared" si="7"/>
        <v>46109</v>
      </c>
    </row>
    <row r="12" spans="1:33" x14ac:dyDescent="0.2">
      <c r="A12" s="57">
        <f>IF( MONTH(G11+1) = MONTH(_Jan1), G11+1, 0 )</f>
        <v>46047</v>
      </c>
      <c r="B12" s="56">
        <f t="shared" ref="B12:G13" si="8">IF( A12=0, 0, IF( MONTH(A12+1) = MONTH(_Jan1), A12+1, 0 ) )</f>
        <v>46048</v>
      </c>
      <c r="C12" s="56">
        <f t="shared" si="8"/>
        <v>46049</v>
      </c>
      <c r="D12" s="56">
        <f t="shared" si="8"/>
        <v>46050</v>
      </c>
      <c r="E12" s="56">
        <f t="shared" si="8"/>
        <v>46051</v>
      </c>
      <c r="F12" s="56">
        <f t="shared" si="8"/>
        <v>46052</v>
      </c>
      <c r="G12" s="57">
        <f t="shared" si="8"/>
        <v>46053</v>
      </c>
      <c r="I12" s="57">
        <f>IF( MONTH(O11+1) = MONTH(_Fev1), O11+1, 0 )</f>
        <v>0</v>
      </c>
      <c r="J12" s="56">
        <f t="shared" ref="J12:O13" si="9">IF( I12=0, 0, IF( MONTH(I12+1) = MONTH(_Fev1), I12+1, 0 ) )</f>
        <v>0</v>
      </c>
      <c r="K12" s="56">
        <f t="shared" si="9"/>
        <v>0</v>
      </c>
      <c r="L12" s="56">
        <f t="shared" si="9"/>
        <v>0</v>
      </c>
      <c r="M12" s="56">
        <f t="shared" si="9"/>
        <v>0</v>
      </c>
      <c r="N12" s="56">
        <f t="shared" si="9"/>
        <v>0</v>
      </c>
      <c r="O12" s="57">
        <f t="shared" si="9"/>
        <v>0</v>
      </c>
      <c r="Q12" s="57">
        <f>IF( MONTH(W11+1) = MONTH(_Mar1), W11+1, 0 )</f>
        <v>46110</v>
      </c>
      <c r="R12" s="56">
        <f t="shared" ref="R12:W13" si="10">IF( Q12=0, 0, IF( MONTH(Q12+1) = MONTH(_Mar1), Q12+1, 0 ) )</f>
        <v>46111</v>
      </c>
      <c r="S12" s="56">
        <f t="shared" si="10"/>
        <v>46112</v>
      </c>
      <c r="T12" s="56">
        <f t="shared" si="10"/>
        <v>0</v>
      </c>
      <c r="U12" s="56">
        <f t="shared" si="10"/>
        <v>0</v>
      </c>
      <c r="V12" s="56">
        <f t="shared" si="10"/>
        <v>0</v>
      </c>
      <c r="W12" s="57">
        <f t="shared" si="10"/>
        <v>0</v>
      </c>
    </row>
    <row r="13" spans="1:33" x14ac:dyDescent="0.2">
      <c r="A13" s="57">
        <f>IF( G12=0, 0, IF( MONTH(G12+1) = MONTH(_Jan1), G12+1, 0 ) )</f>
        <v>0</v>
      </c>
      <c r="B13" s="56">
        <f t="shared" si="8"/>
        <v>0</v>
      </c>
      <c r="C13" s="56">
        <f t="shared" si="8"/>
        <v>0</v>
      </c>
      <c r="D13" s="56">
        <f t="shared" si="8"/>
        <v>0</v>
      </c>
      <c r="E13" s="56">
        <f t="shared" si="8"/>
        <v>0</v>
      </c>
      <c r="F13" s="56">
        <f t="shared" si="8"/>
        <v>0</v>
      </c>
      <c r="G13" s="57">
        <f t="shared" si="8"/>
        <v>0</v>
      </c>
      <c r="I13" s="57">
        <f>IF( O12=0, 0, IF( MONTH(O12+1) = MONTH(_Fev1), O12+1, 0 ) )</f>
        <v>0</v>
      </c>
      <c r="J13" s="56">
        <f t="shared" si="9"/>
        <v>0</v>
      </c>
      <c r="K13" s="56">
        <f t="shared" si="9"/>
        <v>0</v>
      </c>
      <c r="L13" s="56">
        <f t="shared" si="9"/>
        <v>0</v>
      </c>
      <c r="M13" s="56">
        <f t="shared" si="9"/>
        <v>0</v>
      </c>
      <c r="N13" s="56">
        <f t="shared" si="9"/>
        <v>0</v>
      </c>
      <c r="O13" s="57">
        <f t="shared" si="9"/>
        <v>0</v>
      </c>
      <c r="Q13" s="57">
        <f>IF( W12=0, 0, IF( MONTH(W12+1) = MONTH(_Mar1), W12+1, 0 ) )</f>
        <v>0</v>
      </c>
      <c r="R13" s="56">
        <f t="shared" si="10"/>
        <v>0</v>
      </c>
      <c r="S13" s="56">
        <f t="shared" si="10"/>
        <v>0</v>
      </c>
      <c r="T13" s="56">
        <f t="shared" si="10"/>
        <v>0</v>
      </c>
      <c r="U13" s="56">
        <f t="shared" si="10"/>
        <v>0</v>
      </c>
      <c r="V13" s="56">
        <f t="shared" si="10"/>
        <v>0</v>
      </c>
      <c r="W13" s="57">
        <f t="shared" si="10"/>
        <v>0</v>
      </c>
    </row>
    <row r="14" spans="1:33" x14ac:dyDescent="0.2"/>
    <row r="15" spans="1:33" x14ac:dyDescent="0.2">
      <c r="A15" s="61">
        <f>DATE(ano,4,1)</f>
        <v>46113</v>
      </c>
      <c r="B15" s="62"/>
      <c r="C15" s="62"/>
      <c r="D15" s="62"/>
      <c r="E15" s="62"/>
      <c r="F15" s="62"/>
      <c r="G15" s="63"/>
      <c r="I15" s="61">
        <f>DATE(ano,5,1)</f>
        <v>46143</v>
      </c>
      <c r="J15" s="62"/>
      <c r="K15" s="62"/>
      <c r="L15" s="62"/>
      <c r="M15" s="62"/>
      <c r="N15" s="62"/>
      <c r="O15" s="63"/>
      <c r="Q15" s="61">
        <f>DATE(ano,6,1)</f>
        <v>46174</v>
      </c>
      <c r="R15" s="62"/>
      <c r="S15" s="62"/>
      <c r="T15" s="62"/>
      <c r="U15" s="62"/>
      <c r="V15" s="62"/>
      <c r="W15" s="63"/>
    </row>
    <row r="16" spans="1:33" x14ac:dyDescent="0.2">
      <c r="A16" s="53" t="str">
        <f t="shared" ref="A16:G16" si="11">A7</f>
        <v>D</v>
      </c>
      <c r="B16" s="54" t="str">
        <f t="shared" si="11"/>
        <v>S</v>
      </c>
      <c r="C16" s="54" t="str">
        <f t="shared" si="11"/>
        <v>T</v>
      </c>
      <c r="D16" s="54" t="str">
        <f t="shared" si="11"/>
        <v>Q</v>
      </c>
      <c r="E16" s="54" t="str">
        <f t="shared" si="11"/>
        <v>Q</v>
      </c>
      <c r="F16" s="54" t="str">
        <f t="shared" si="11"/>
        <v>S</v>
      </c>
      <c r="G16" s="55" t="str">
        <f t="shared" si="11"/>
        <v>S</v>
      </c>
      <c r="I16" s="53" t="str">
        <f t="shared" ref="I16:O16" si="12">A16</f>
        <v>D</v>
      </c>
      <c r="J16" s="54" t="str">
        <f t="shared" si="12"/>
        <v>S</v>
      </c>
      <c r="K16" s="54" t="str">
        <f t="shared" si="12"/>
        <v>T</v>
      </c>
      <c r="L16" s="54" t="str">
        <f t="shared" si="12"/>
        <v>Q</v>
      </c>
      <c r="M16" s="54" t="str">
        <f t="shared" si="12"/>
        <v>Q</v>
      </c>
      <c r="N16" s="54" t="str">
        <f t="shared" si="12"/>
        <v>S</v>
      </c>
      <c r="O16" s="55" t="str">
        <f t="shared" si="12"/>
        <v>S</v>
      </c>
      <c r="Q16" s="53" t="str">
        <f t="shared" ref="Q16:W16" si="13">I16</f>
        <v>D</v>
      </c>
      <c r="R16" s="54" t="str">
        <f t="shared" si="13"/>
        <v>S</v>
      </c>
      <c r="S16" s="54" t="str">
        <f t="shared" si="13"/>
        <v>T</v>
      </c>
      <c r="T16" s="54" t="str">
        <f t="shared" si="13"/>
        <v>Q</v>
      </c>
      <c r="U16" s="54" t="str">
        <f t="shared" si="13"/>
        <v>Q</v>
      </c>
      <c r="V16" s="54" t="str">
        <f t="shared" si="13"/>
        <v>S</v>
      </c>
      <c r="W16" s="55" t="str">
        <f t="shared" si="13"/>
        <v>S</v>
      </c>
    </row>
    <row r="17" spans="1:23" x14ac:dyDescent="0.2">
      <c r="A17" s="57">
        <f>IF( WEEKDAY(_Abr1) = MOD(COLUMN(),8), _Abr1, 0 )</f>
        <v>0</v>
      </c>
      <c r="B17" s="56">
        <f t="shared" ref="B17:G17" si="14">IF( A17&gt;0, A17+1, IF( WEEKDAY(_Abr1)=MOD(COLUMN(),8), _Abr1, 0) )</f>
        <v>0</v>
      </c>
      <c r="C17" s="56">
        <f t="shared" si="14"/>
        <v>0</v>
      </c>
      <c r="D17" s="56">
        <f t="shared" si="14"/>
        <v>46113</v>
      </c>
      <c r="E17" s="56">
        <f t="shared" si="14"/>
        <v>46114</v>
      </c>
      <c r="F17" s="56">
        <f t="shared" si="14"/>
        <v>46115</v>
      </c>
      <c r="G17" s="57">
        <f t="shared" si="14"/>
        <v>46116</v>
      </c>
      <c r="I17" s="57">
        <f>IF( WEEKDAY(_Mai1) = MOD(COLUMN(),8), _Mai1, 0 )</f>
        <v>0</v>
      </c>
      <c r="J17" s="56">
        <f t="shared" ref="J17:O17" si="15">IF( I17&gt;0, I17+1, IF( WEEKDAY(_Mai1)=MOD(COLUMN(),8), _Mai1, 0) )</f>
        <v>0</v>
      </c>
      <c r="K17" s="56">
        <f t="shared" si="15"/>
        <v>0</v>
      </c>
      <c r="L17" s="56">
        <f t="shared" si="15"/>
        <v>0</v>
      </c>
      <c r="M17" s="56">
        <f t="shared" si="15"/>
        <v>0</v>
      </c>
      <c r="N17" s="56">
        <f t="shared" si="15"/>
        <v>46143</v>
      </c>
      <c r="O17" s="57">
        <f t="shared" si="15"/>
        <v>46144</v>
      </c>
      <c r="Q17" s="57">
        <f>IF( WEEKDAY(_Jun1) = MOD(COLUMN(),8), _Jun1, 0 )</f>
        <v>0</v>
      </c>
      <c r="R17" s="56">
        <f t="shared" ref="R17:W17" si="16">IF( Q17&gt;0, Q17+1, IF( WEEKDAY(_Jun1)=MOD(COLUMN(),8), _Jun1, 0) )</f>
        <v>46174</v>
      </c>
      <c r="S17" s="56">
        <f t="shared" si="16"/>
        <v>46175</v>
      </c>
      <c r="T17" s="56">
        <f t="shared" si="16"/>
        <v>46176</v>
      </c>
      <c r="U17" s="56">
        <f t="shared" si="16"/>
        <v>46177</v>
      </c>
      <c r="V17" s="56">
        <f t="shared" si="16"/>
        <v>46178</v>
      </c>
      <c r="W17" s="57">
        <f t="shared" si="16"/>
        <v>46179</v>
      </c>
    </row>
    <row r="18" spans="1:23" x14ac:dyDescent="0.2">
      <c r="A18" s="57">
        <f>G17+1</f>
        <v>46117</v>
      </c>
      <c r="B18" s="56">
        <f t="shared" ref="B18:G20" si="17">A18+1</f>
        <v>46118</v>
      </c>
      <c r="C18" s="56">
        <f t="shared" si="17"/>
        <v>46119</v>
      </c>
      <c r="D18" s="56">
        <f t="shared" si="17"/>
        <v>46120</v>
      </c>
      <c r="E18" s="56">
        <f t="shared" si="17"/>
        <v>46121</v>
      </c>
      <c r="F18" s="56">
        <f t="shared" si="17"/>
        <v>46122</v>
      </c>
      <c r="G18" s="57">
        <f t="shared" si="17"/>
        <v>46123</v>
      </c>
      <c r="I18" s="57">
        <f>O17+1</f>
        <v>46145</v>
      </c>
      <c r="J18" s="56">
        <f t="shared" ref="J18:O20" si="18">I18+1</f>
        <v>46146</v>
      </c>
      <c r="K18" s="56">
        <f t="shared" si="18"/>
        <v>46147</v>
      </c>
      <c r="L18" s="56">
        <f t="shared" si="18"/>
        <v>46148</v>
      </c>
      <c r="M18" s="56">
        <f t="shared" si="18"/>
        <v>46149</v>
      </c>
      <c r="N18" s="56">
        <f t="shared" si="18"/>
        <v>46150</v>
      </c>
      <c r="O18" s="57">
        <f t="shared" si="18"/>
        <v>46151</v>
      </c>
      <c r="Q18" s="57">
        <f>W17+1</f>
        <v>46180</v>
      </c>
      <c r="R18" s="56">
        <f t="shared" ref="R18:W20" si="19">Q18+1</f>
        <v>46181</v>
      </c>
      <c r="S18" s="56">
        <f t="shared" si="19"/>
        <v>46182</v>
      </c>
      <c r="T18" s="56">
        <f t="shared" si="19"/>
        <v>46183</v>
      </c>
      <c r="U18" s="56">
        <f t="shared" si="19"/>
        <v>46184</v>
      </c>
      <c r="V18" s="56">
        <f t="shared" si="19"/>
        <v>46185</v>
      </c>
      <c r="W18" s="57">
        <f t="shared" si="19"/>
        <v>46186</v>
      </c>
    </row>
    <row r="19" spans="1:23" x14ac:dyDescent="0.2">
      <c r="A19" s="57">
        <f>G18+1</f>
        <v>46124</v>
      </c>
      <c r="B19" s="56">
        <f t="shared" si="17"/>
        <v>46125</v>
      </c>
      <c r="C19" s="56">
        <f t="shared" si="17"/>
        <v>46126</v>
      </c>
      <c r="D19" s="56">
        <f t="shared" si="17"/>
        <v>46127</v>
      </c>
      <c r="E19" s="56">
        <f t="shared" si="17"/>
        <v>46128</v>
      </c>
      <c r="F19" s="56">
        <f t="shared" si="17"/>
        <v>46129</v>
      </c>
      <c r="G19" s="57">
        <f t="shared" si="17"/>
        <v>46130</v>
      </c>
      <c r="I19" s="57">
        <f>O18+1</f>
        <v>46152</v>
      </c>
      <c r="J19" s="56">
        <f t="shared" si="18"/>
        <v>46153</v>
      </c>
      <c r="K19" s="56">
        <f t="shared" si="18"/>
        <v>46154</v>
      </c>
      <c r="L19" s="56">
        <f t="shared" si="18"/>
        <v>46155</v>
      </c>
      <c r="M19" s="56">
        <f t="shared" si="18"/>
        <v>46156</v>
      </c>
      <c r="N19" s="56">
        <f t="shared" si="18"/>
        <v>46157</v>
      </c>
      <c r="O19" s="57">
        <f t="shared" si="18"/>
        <v>46158</v>
      </c>
      <c r="Q19" s="57">
        <f>W18+1</f>
        <v>46187</v>
      </c>
      <c r="R19" s="56">
        <f t="shared" si="19"/>
        <v>46188</v>
      </c>
      <c r="S19" s="56">
        <f t="shared" si="19"/>
        <v>46189</v>
      </c>
      <c r="T19" s="56">
        <f t="shared" si="19"/>
        <v>46190</v>
      </c>
      <c r="U19" s="56">
        <f t="shared" si="19"/>
        <v>46191</v>
      </c>
      <c r="V19" s="56">
        <f t="shared" si="19"/>
        <v>46192</v>
      </c>
      <c r="W19" s="57">
        <f t="shared" si="19"/>
        <v>46193</v>
      </c>
    </row>
    <row r="20" spans="1:23" x14ac:dyDescent="0.2">
      <c r="A20" s="57">
        <f>G19+1</f>
        <v>46131</v>
      </c>
      <c r="B20" s="56">
        <f t="shared" si="17"/>
        <v>46132</v>
      </c>
      <c r="C20" s="56">
        <f t="shared" si="17"/>
        <v>46133</v>
      </c>
      <c r="D20" s="56">
        <f t="shared" si="17"/>
        <v>46134</v>
      </c>
      <c r="E20" s="56">
        <f t="shared" si="17"/>
        <v>46135</v>
      </c>
      <c r="F20" s="56">
        <f t="shared" si="17"/>
        <v>46136</v>
      </c>
      <c r="G20" s="57">
        <f t="shared" si="17"/>
        <v>46137</v>
      </c>
      <c r="I20" s="57">
        <f>O19+1</f>
        <v>46159</v>
      </c>
      <c r="J20" s="56">
        <f t="shared" si="18"/>
        <v>46160</v>
      </c>
      <c r="K20" s="56">
        <f t="shared" si="18"/>
        <v>46161</v>
      </c>
      <c r="L20" s="56">
        <f t="shared" si="18"/>
        <v>46162</v>
      </c>
      <c r="M20" s="56">
        <f t="shared" si="18"/>
        <v>46163</v>
      </c>
      <c r="N20" s="56">
        <f t="shared" si="18"/>
        <v>46164</v>
      </c>
      <c r="O20" s="57">
        <f t="shared" si="18"/>
        <v>46165</v>
      </c>
      <c r="Q20" s="57">
        <f>W19+1</f>
        <v>46194</v>
      </c>
      <c r="R20" s="56">
        <f t="shared" si="19"/>
        <v>46195</v>
      </c>
      <c r="S20" s="56">
        <f t="shared" si="19"/>
        <v>46196</v>
      </c>
      <c r="T20" s="56">
        <f t="shared" si="19"/>
        <v>46197</v>
      </c>
      <c r="U20" s="56">
        <f t="shared" si="19"/>
        <v>46198</v>
      </c>
      <c r="V20" s="56">
        <f t="shared" si="19"/>
        <v>46199</v>
      </c>
      <c r="W20" s="57">
        <f t="shared" si="19"/>
        <v>46200</v>
      </c>
    </row>
    <row r="21" spans="1:23" x14ac:dyDescent="0.2">
      <c r="A21" s="57">
        <f>IF( MONTH(G20+1) = MONTH(_Abr1), G20+1, 0 )</f>
        <v>46138</v>
      </c>
      <c r="B21" s="56">
        <f t="shared" ref="B21:G22" si="20">IF( A21=0, 0, IF( MONTH(A21+1) = MONTH(_Abr1), A21+1, 0 ) )</f>
        <v>46139</v>
      </c>
      <c r="C21" s="56">
        <f t="shared" si="20"/>
        <v>46140</v>
      </c>
      <c r="D21" s="56">
        <f t="shared" si="20"/>
        <v>46141</v>
      </c>
      <c r="E21" s="56">
        <f t="shared" si="20"/>
        <v>46142</v>
      </c>
      <c r="F21" s="56">
        <f t="shared" si="20"/>
        <v>0</v>
      </c>
      <c r="G21" s="57">
        <f t="shared" si="20"/>
        <v>0</v>
      </c>
      <c r="I21" s="57">
        <f>IF( MONTH(O20+1) = MONTH(_Mai1), O20+1, 0 )</f>
        <v>46166</v>
      </c>
      <c r="J21" s="56">
        <f t="shared" ref="J21:O22" si="21">IF( I21=0, 0, IF( MONTH(I21+1) = MONTH(_Mai1), I21+1, 0 ) )</f>
        <v>46167</v>
      </c>
      <c r="K21" s="56">
        <f t="shared" si="21"/>
        <v>46168</v>
      </c>
      <c r="L21" s="56">
        <f t="shared" si="21"/>
        <v>46169</v>
      </c>
      <c r="M21" s="56">
        <f t="shared" si="21"/>
        <v>46170</v>
      </c>
      <c r="N21" s="56">
        <f t="shared" si="21"/>
        <v>46171</v>
      </c>
      <c r="O21" s="57">
        <f t="shared" si="21"/>
        <v>46172</v>
      </c>
      <c r="Q21" s="57">
        <f>IF( MONTH(W20+1) = MONTH(_Jun1), W20+1, 0 )</f>
        <v>46201</v>
      </c>
      <c r="R21" s="56">
        <f t="shared" ref="R21:W22" si="22">IF( Q21=0, 0, IF( MONTH(Q21+1) = MONTH(_Jun1), Q21+1, 0 ) )</f>
        <v>46202</v>
      </c>
      <c r="S21" s="56">
        <f t="shared" si="22"/>
        <v>46203</v>
      </c>
      <c r="T21" s="56">
        <f t="shared" si="22"/>
        <v>0</v>
      </c>
      <c r="U21" s="56">
        <f t="shared" si="22"/>
        <v>0</v>
      </c>
      <c r="V21" s="56">
        <f t="shared" si="22"/>
        <v>0</v>
      </c>
      <c r="W21" s="57">
        <f t="shared" si="22"/>
        <v>0</v>
      </c>
    </row>
    <row r="22" spans="1:23" x14ac:dyDescent="0.2">
      <c r="A22" s="57">
        <f>IF( G21=0, 0, IF( MONTH(G21+1) = MONTH(_Abr1), G21+1, 0 ) )</f>
        <v>0</v>
      </c>
      <c r="B22" s="56">
        <f t="shared" si="20"/>
        <v>0</v>
      </c>
      <c r="C22" s="56">
        <f t="shared" si="20"/>
        <v>0</v>
      </c>
      <c r="D22" s="56">
        <f t="shared" si="20"/>
        <v>0</v>
      </c>
      <c r="E22" s="56">
        <f t="shared" si="20"/>
        <v>0</v>
      </c>
      <c r="F22" s="56">
        <f t="shared" si="20"/>
        <v>0</v>
      </c>
      <c r="G22" s="57">
        <f t="shared" si="20"/>
        <v>0</v>
      </c>
      <c r="I22" s="57">
        <f>IF( O21=0, 0, IF( MONTH(O21+1) = MONTH(_Mai1), O21+1, 0 ) )</f>
        <v>46173</v>
      </c>
      <c r="J22" s="56">
        <f t="shared" si="21"/>
        <v>0</v>
      </c>
      <c r="K22" s="56">
        <f t="shared" si="21"/>
        <v>0</v>
      </c>
      <c r="L22" s="56">
        <f t="shared" si="21"/>
        <v>0</v>
      </c>
      <c r="M22" s="56">
        <f t="shared" si="21"/>
        <v>0</v>
      </c>
      <c r="N22" s="56">
        <f t="shared" si="21"/>
        <v>0</v>
      </c>
      <c r="O22" s="57">
        <f t="shared" si="21"/>
        <v>0</v>
      </c>
      <c r="Q22" s="57">
        <f>IF( W21=0, 0, IF( MONTH(W21+1) = MONTH(_Jun1), W21+1, 0 ) )</f>
        <v>0</v>
      </c>
      <c r="R22" s="56">
        <f t="shared" si="22"/>
        <v>0</v>
      </c>
      <c r="S22" s="56">
        <f t="shared" si="22"/>
        <v>0</v>
      </c>
      <c r="T22" s="56">
        <f t="shared" si="22"/>
        <v>0</v>
      </c>
      <c r="U22" s="56">
        <f t="shared" si="22"/>
        <v>0</v>
      </c>
      <c r="V22" s="56">
        <f t="shared" si="22"/>
        <v>0</v>
      </c>
      <c r="W22" s="57">
        <f t="shared" si="22"/>
        <v>0</v>
      </c>
    </row>
    <row r="23" spans="1:23" x14ac:dyDescent="0.2"/>
    <row r="24" spans="1:23" x14ac:dyDescent="0.2">
      <c r="A24" s="61">
        <f>DATE(ano,7,1)</f>
        <v>46204</v>
      </c>
      <c r="B24" s="62"/>
      <c r="C24" s="62"/>
      <c r="D24" s="62"/>
      <c r="E24" s="62"/>
      <c r="F24" s="62"/>
      <c r="G24" s="63"/>
      <c r="I24" s="61">
        <f>DATE(ano,8,1)</f>
        <v>46235</v>
      </c>
      <c r="J24" s="62"/>
      <c r="K24" s="62"/>
      <c r="L24" s="62"/>
      <c r="M24" s="62"/>
      <c r="N24" s="62"/>
      <c r="O24" s="63"/>
      <c r="Q24" s="61">
        <f>DATE(ano,9,1)</f>
        <v>46266</v>
      </c>
      <c r="R24" s="62"/>
      <c r="S24" s="62"/>
      <c r="T24" s="62"/>
      <c r="U24" s="62"/>
      <c r="V24" s="62"/>
      <c r="W24" s="63"/>
    </row>
    <row r="25" spans="1:23" x14ac:dyDescent="0.2">
      <c r="A25" s="53" t="str">
        <f t="shared" ref="A25:G25" si="23">A16</f>
        <v>D</v>
      </c>
      <c r="B25" s="54" t="str">
        <f t="shared" si="23"/>
        <v>S</v>
      </c>
      <c r="C25" s="54" t="str">
        <f t="shared" si="23"/>
        <v>T</v>
      </c>
      <c r="D25" s="54" t="str">
        <f t="shared" si="23"/>
        <v>Q</v>
      </c>
      <c r="E25" s="54" t="str">
        <f t="shared" si="23"/>
        <v>Q</v>
      </c>
      <c r="F25" s="54" t="str">
        <f t="shared" si="23"/>
        <v>S</v>
      </c>
      <c r="G25" s="55" t="str">
        <f t="shared" si="23"/>
        <v>S</v>
      </c>
      <c r="I25" s="53" t="str">
        <f t="shared" ref="I25:O25" si="24">A25</f>
        <v>D</v>
      </c>
      <c r="J25" s="54" t="str">
        <f t="shared" si="24"/>
        <v>S</v>
      </c>
      <c r="K25" s="54" t="str">
        <f t="shared" si="24"/>
        <v>T</v>
      </c>
      <c r="L25" s="54" t="str">
        <f t="shared" si="24"/>
        <v>Q</v>
      </c>
      <c r="M25" s="54" t="str">
        <f t="shared" si="24"/>
        <v>Q</v>
      </c>
      <c r="N25" s="54" t="str">
        <f t="shared" si="24"/>
        <v>S</v>
      </c>
      <c r="O25" s="55" t="str">
        <f t="shared" si="24"/>
        <v>S</v>
      </c>
      <c r="Q25" s="53" t="str">
        <f t="shared" ref="Q25:W25" si="25">I25</f>
        <v>D</v>
      </c>
      <c r="R25" s="54" t="str">
        <f t="shared" si="25"/>
        <v>S</v>
      </c>
      <c r="S25" s="54" t="str">
        <f t="shared" si="25"/>
        <v>T</v>
      </c>
      <c r="T25" s="54" t="str">
        <f t="shared" si="25"/>
        <v>Q</v>
      </c>
      <c r="U25" s="54" t="str">
        <f t="shared" si="25"/>
        <v>Q</v>
      </c>
      <c r="V25" s="54" t="str">
        <f t="shared" si="25"/>
        <v>S</v>
      </c>
      <c r="W25" s="55" t="str">
        <f t="shared" si="25"/>
        <v>S</v>
      </c>
    </row>
    <row r="26" spans="1:23" x14ac:dyDescent="0.2">
      <c r="A26" s="57">
        <f>IF( WEEKDAY(_Jul1) = MOD(COLUMN(),8), _Jul1, 0 )</f>
        <v>0</v>
      </c>
      <c r="B26" s="56">
        <f t="shared" ref="B26:G26" si="26">IF( A26&gt;0, A26+1, IF( WEEKDAY(_Jul1)=MOD(COLUMN(),8), _Jul1, 0) )</f>
        <v>0</v>
      </c>
      <c r="C26" s="56">
        <f t="shared" si="26"/>
        <v>0</v>
      </c>
      <c r="D26" s="56">
        <f t="shared" si="26"/>
        <v>46204</v>
      </c>
      <c r="E26" s="56">
        <f t="shared" si="26"/>
        <v>46205</v>
      </c>
      <c r="F26" s="56">
        <f t="shared" si="26"/>
        <v>46206</v>
      </c>
      <c r="G26" s="57">
        <f t="shared" si="26"/>
        <v>46207</v>
      </c>
      <c r="I26" s="57">
        <f>IF( WEEKDAY(_Ago1) = MOD(COLUMN(),8), _Ago1, 0 )</f>
        <v>0</v>
      </c>
      <c r="J26" s="56">
        <f t="shared" ref="J26:O26" si="27">IF( I26&gt;0, I26+1, IF( WEEKDAY(_Ago1)=MOD(COLUMN(),8), _Ago1, 0) )</f>
        <v>0</v>
      </c>
      <c r="K26" s="56">
        <f t="shared" si="27"/>
        <v>0</v>
      </c>
      <c r="L26" s="56">
        <f t="shared" si="27"/>
        <v>0</v>
      </c>
      <c r="M26" s="56">
        <f t="shared" si="27"/>
        <v>0</v>
      </c>
      <c r="N26" s="56">
        <f t="shared" si="27"/>
        <v>0</v>
      </c>
      <c r="O26" s="57">
        <f t="shared" si="27"/>
        <v>46235</v>
      </c>
      <c r="Q26" s="57">
        <f>IF( WEEKDAY(_Set1) = MOD(COLUMN(),8), _Set1, 0 )</f>
        <v>0</v>
      </c>
      <c r="R26" s="56">
        <f t="shared" ref="R26:W26" si="28">IF( Q26&gt;0, Q26+1, IF( WEEKDAY(_Set1)=MOD(COLUMN(),8), _Set1, 0) )</f>
        <v>0</v>
      </c>
      <c r="S26" s="56">
        <f t="shared" si="28"/>
        <v>46266</v>
      </c>
      <c r="T26" s="56">
        <f t="shared" si="28"/>
        <v>46267</v>
      </c>
      <c r="U26" s="56">
        <f t="shared" si="28"/>
        <v>46268</v>
      </c>
      <c r="V26" s="56">
        <f t="shared" si="28"/>
        <v>46269</v>
      </c>
      <c r="W26" s="57">
        <f t="shared" si="28"/>
        <v>46270</v>
      </c>
    </row>
    <row r="27" spans="1:23" x14ac:dyDescent="0.2">
      <c r="A27" s="57">
        <f>G26+1</f>
        <v>46208</v>
      </c>
      <c r="B27" s="56">
        <f t="shared" ref="B27:G29" si="29">A27+1</f>
        <v>46209</v>
      </c>
      <c r="C27" s="56">
        <f t="shared" si="29"/>
        <v>46210</v>
      </c>
      <c r="D27" s="56">
        <f t="shared" si="29"/>
        <v>46211</v>
      </c>
      <c r="E27" s="56">
        <f t="shared" si="29"/>
        <v>46212</v>
      </c>
      <c r="F27" s="56">
        <f t="shared" si="29"/>
        <v>46213</v>
      </c>
      <c r="G27" s="57">
        <f t="shared" si="29"/>
        <v>46214</v>
      </c>
      <c r="I27" s="57">
        <f>O26+1</f>
        <v>46236</v>
      </c>
      <c r="J27" s="56">
        <f t="shared" ref="J27:O29" si="30">I27+1</f>
        <v>46237</v>
      </c>
      <c r="K27" s="56">
        <f t="shared" si="30"/>
        <v>46238</v>
      </c>
      <c r="L27" s="56">
        <f t="shared" si="30"/>
        <v>46239</v>
      </c>
      <c r="M27" s="56">
        <f t="shared" si="30"/>
        <v>46240</v>
      </c>
      <c r="N27" s="56">
        <f t="shared" si="30"/>
        <v>46241</v>
      </c>
      <c r="O27" s="57">
        <f t="shared" si="30"/>
        <v>46242</v>
      </c>
      <c r="Q27" s="57">
        <f>W26+1</f>
        <v>46271</v>
      </c>
      <c r="R27" s="56">
        <f t="shared" ref="R27:W29" si="31">Q27+1</f>
        <v>46272</v>
      </c>
      <c r="S27" s="56">
        <f t="shared" si="31"/>
        <v>46273</v>
      </c>
      <c r="T27" s="56">
        <f t="shared" si="31"/>
        <v>46274</v>
      </c>
      <c r="U27" s="56">
        <f t="shared" si="31"/>
        <v>46275</v>
      </c>
      <c r="V27" s="56">
        <f t="shared" si="31"/>
        <v>46276</v>
      </c>
      <c r="W27" s="57">
        <f t="shared" si="31"/>
        <v>46277</v>
      </c>
    </row>
    <row r="28" spans="1:23" x14ac:dyDescent="0.2">
      <c r="A28" s="57">
        <f>G27+1</f>
        <v>46215</v>
      </c>
      <c r="B28" s="56">
        <f t="shared" si="29"/>
        <v>46216</v>
      </c>
      <c r="C28" s="56">
        <f t="shared" si="29"/>
        <v>46217</v>
      </c>
      <c r="D28" s="56">
        <f t="shared" si="29"/>
        <v>46218</v>
      </c>
      <c r="E28" s="56">
        <f t="shared" si="29"/>
        <v>46219</v>
      </c>
      <c r="F28" s="56">
        <f t="shared" si="29"/>
        <v>46220</v>
      </c>
      <c r="G28" s="57">
        <f t="shared" si="29"/>
        <v>46221</v>
      </c>
      <c r="I28" s="57">
        <f>O27+1</f>
        <v>46243</v>
      </c>
      <c r="J28" s="56">
        <f t="shared" si="30"/>
        <v>46244</v>
      </c>
      <c r="K28" s="56">
        <f t="shared" si="30"/>
        <v>46245</v>
      </c>
      <c r="L28" s="56">
        <f t="shared" si="30"/>
        <v>46246</v>
      </c>
      <c r="M28" s="56">
        <f t="shared" si="30"/>
        <v>46247</v>
      </c>
      <c r="N28" s="56">
        <f t="shared" si="30"/>
        <v>46248</v>
      </c>
      <c r="O28" s="57">
        <f t="shared" si="30"/>
        <v>46249</v>
      </c>
      <c r="Q28" s="57">
        <f>W27+1</f>
        <v>46278</v>
      </c>
      <c r="R28" s="56">
        <f t="shared" si="31"/>
        <v>46279</v>
      </c>
      <c r="S28" s="56">
        <f t="shared" si="31"/>
        <v>46280</v>
      </c>
      <c r="T28" s="56">
        <f t="shared" si="31"/>
        <v>46281</v>
      </c>
      <c r="U28" s="56">
        <f t="shared" si="31"/>
        <v>46282</v>
      </c>
      <c r="V28" s="56">
        <f t="shared" si="31"/>
        <v>46283</v>
      </c>
      <c r="W28" s="57">
        <f t="shared" si="31"/>
        <v>46284</v>
      </c>
    </row>
    <row r="29" spans="1:23" x14ac:dyDescent="0.2">
      <c r="A29" s="57">
        <f>G28+1</f>
        <v>46222</v>
      </c>
      <c r="B29" s="56">
        <f t="shared" si="29"/>
        <v>46223</v>
      </c>
      <c r="C29" s="56">
        <f t="shared" si="29"/>
        <v>46224</v>
      </c>
      <c r="D29" s="56">
        <f t="shared" si="29"/>
        <v>46225</v>
      </c>
      <c r="E29" s="56">
        <f t="shared" si="29"/>
        <v>46226</v>
      </c>
      <c r="F29" s="56">
        <f t="shared" si="29"/>
        <v>46227</v>
      </c>
      <c r="G29" s="57">
        <f t="shared" si="29"/>
        <v>46228</v>
      </c>
      <c r="I29" s="57">
        <f>O28+1</f>
        <v>46250</v>
      </c>
      <c r="J29" s="56">
        <f t="shared" si="30"/>
        <v>46251</v>
      </c>
      <c r="K29" s="56">
        <f t="shared" si="30"/>
        <v>46252</v>
      </c>
      <c r="L29" s="56">
        <f t="shared" si="30"/>
        <v>46253</v>
      </c>
      <c r="M29" s="56">
        <f t="shared" si="30"/>
        <v>46254</v>
      </c>
      <c r="N29" s="56">
        <f t="shared" si="30"/>
        <v>46255</v>
      </c>
      <c r="O29" s="57">
        <f t="shared" si="30"/>
        <v>46256</v>
      </c>
      <c r="Q29" s="57">
        <f>W28+1</f>
        <v>46285</v>
      </c>
      <c r="R29" s="56">
        <f t="shared" si="31"/>
        <v>46286</v>
      </c>
      <c r="S29" s="56">
        <f t="shared" si="31"/>
        <v>46287</v>
      </c>
      <c r="T29" s="56">
        <f t="shared" si="31"/>
        <v>46288</v>
      </c>
      <c r="U29" s="56">
        <f t="shared" si="31"/>
        <v>46289</v>
      </c>
      <c r="V29" s="56">
        <f t="shared" si="31"/>
        <v>46290</v>
      </c>
      <c r="W29" s="57">
        <f t="shared" si="31"/>
        <v>46291</v>
      </c>
    </row>
    <row r="30" spans="1:23" x14ac:dyDescent="0.2">
      <c r="A30" s="57">
        <f>IF( MONTH(G29+1) = MONTH(_Jul1), G29+1, 0 )</f>
        <v>46229</v>
      </c>
      <c r="B30" s="56">
        <f t="shared" ref="B30:G31" si="32">IF( A30=0, 0, IF( MONTH(A30+1) = MONTH(_Jul1), A30+1, 0 ) )</f>
        <v>46230</v>
      </c>
      <c r="C30" s="56">
        <f t="shared" si="32"/>
        <v>46231</v>
      </c>
      <c r="D30" s="56">
        <f t="shared" si="32"/>
        <v>46232</v>
      </c>
      <c r="E30" s="56">
        <f t="shared" si="32"/>
        <v>46233</v>
      </c>
      <c r="F30" s="56">
        <f t="shared" si="32"/>
        <v>46234</v>
      </c>
      <c r="G30" s="57">
        <f t="shared" si="32"/>
        <v>0</v>
      </c>
      <c r="I30" s="57">
        <f>IF( MONTH(O29+1) = MONTH(_Ago1), O29+1, 0 )</f>
        <v>46257</v>
      </c>
      <c r="J30" s="56">
        <f t="shared" ref="J30:O31" si="33">IF( I30=0, 0, IF( MONTH(I30+1) = MONTH(_Ago1), I30+1, 0 ) )</f>
        <v>46258</v>
      </c>
      <c r="K30" s="56">
        <f t="shared" si="33"/>
        <v>46259</v>
      </c>
      <c r="L30" s="56">
        <f t="shared" si="33"/>
        <v>46260</v>
      </c>
      <c r="M30" s="56">
        <f t="shared" si="33"/>
        <v>46261</v>
      </c>
      <c r="N30" s="56">
        <f t="shared" si="33"/>
        <v>46262</v>
      </c>
      <c r="O30" s="57">
        <f t="shared" si="33"/>
        <v>46263</v>
      </c>
      <c r="Q30" s="57">
        <f>IF( MONTH(W29+1) = MONTH(_Set1), W29+1, 0 )</f>
        <v>46292</v>
      </c>
      <c r="R30" s="56">
        <f t="shared" ref="R30:W31" si="34">IF( Q30=0, 0, IF( MONTH(Q30+1) = MONTH(_Set1), Q30+1, 0 ) )</f>
        <v>46293</v>
      </c>
      <c r="S30" s="56">
        <f t="shared" si="34"/>
        <v>46294</v>
      </c>
      <c r="T30" s="56">
        <f t="shared" si="34"/>
        <v>46295</v>
      </c>
      <c r="U30" s="56">
        <f t="shared" si="34"/>
        <v>0</v>
      </c>
      <c r="V30" s="56">
        <f t="shared" si="34"/>
        <v>0</v>
      </c>
      <c r="W30" s="57">
        <f t="shared" si="34"/>
        <v>0</v>
      </c>
    </row>
    <row r="31" spans="1:23" x14ac:dyDescent="0.2">
      <c r="A31" s="57">
        <f>IF( G30=0, 0, IF( MONTH(G30+1) = MONTH(_Jul1), G30+1, 0 ) )</f>
        <v>0</v>
      </c>
      <c r="B31" s="56">
        <f t="shared" si="32"/>
        <v>0</v>
      </c>
      <c r="C31" s="56">
        <f t="shared" si="32"/>
        <v>0</v>
      </c>
      <c r="D31" s="56">
        <f t="shared" si="32"/>
        <v>0</v>
      </c>
      <c r="E31" s="56">
        <f t="shared" si="32"/>
        <v>0</v>
      </c>
      <c r="F31" s="56">
        <f t="shared" si="32"/>
        <v>0</v>
      </c>
      <c r="G31" s="57">
        <f t="shared" si="32"/>
        <v>0</v>
      </c>
      <c r="I31" s="57">
        <f>IF( O30=0, 0, IF( MONTH(O30+1) = MONTH(_Ago1), O30+1, 0 ) )</f>
        <v>46264</v>
      </c>
      <c r="J31" s="56">
        <f t="shared" si="33"/>
        <v>46265</v>
      </c>
      <c r="K31" s="56">
        <f t="shared" si="33"/>
        <v>0</v>
      </c>
      <c r="L31" s="56">
        <f t="shared" si="33"/>
        <v>0</v>
      </c>
      <c r="M31" s="56">
        <f t="shared" si="33"/>
        <v>0</v>
      </c>
      <c r="N31" s="56">
        <f t="shared" si="33"/>
        <v>0</v>
      </c>
      <c r="O31" s="57">
        <f t="shared" si="33"/>
        <v>0</v>
      </c>
      <c r="Q31" s="57">
        <f>IF( W30=0, 0, IF( MONTH(W30+1) = MONTH(_Set1), W30+1, 0 ) )</f>
        <v>0</v>
      </c>
      <c r="R31" s="56">
        <f t="shared" si="34"/>
        <v>0</v>
      </c>
      <c r="S31" s="56">
        <f t="shared" si="34"/>
        <v>0</v>
      </c>
      <c r="T31" s="56">
        <f t="shared" si="34"/>
        <v>0</v>
      </c>
      <c r="U31" s="56">
        <f t="shared" si="34"/>
        <v>0</v>
      </c>
      <c r="V31" s="56">
        <f t="shared" si="34"/>
        <v>0</v>
      </c>
      <c r="W31" s="57">
        <f t="shared" si="34"/>
        <v>0</v>
      </c>
    </row>
    <row r="32" spans="1:23" x14ac:dyDescent="0.2"/>
    <row r="33" spans="1:23" x14ac:dyDescent="0.2">
      <c r="A33" s="61">
        <f>DATE(ano,10,1)</f>
        <v>46296</v>
      </c>
      <c r="B33" s="62"/>
      <c r="C33" s="62"/>
      <c r="D33" s="62"/>
      <c r="E33" s="62"/>
      <c r="F33" s="62"/>
      <c r="G33" s="63"/>
      <c r="I33" s="61">
        <f>DATE(ano,11,1)</f>
        <v>46327</v>
      </c>
      <c r="J33" s="62"/>
      <c r="K33" s="62"/>
      <c r="L33" s="62"/>
      <c r="M33" s="62"/>
      <c r="N33" s="62"/>
      <c r="O33" s="63"/>
      <c r="Q33" s="61">
        <f>DATE(ano,12,1)</f>
        <v>46357</v>
      </c>
      <c r="R33" s="62"/>
      <c r="S33" s="62"/>
      <c r="T33" s="62"/>
      <c r="U33" s="62"/>
      <c r="V33" s="62"/>
      <c r="W33" s="63"/>
    </row>
    <row r="34" spans="1:23" x14ac:dyDescent="0.2">
      <c r="A34" s="53" t="str">
        <f t="shared" ref="A34:G34" si="35">A25</f>
        <v>D</v>
      </c>
      <c r="B34" s="54" t="str">
        <f t="shared" si="35"/>
        <v>S</v>
      </c>
      <c r="C34" s="54" t="str">
        <f t="shared" si="35"/>
        <v>T</v>
      </c>
      <c r="D34" s="54" t="str">
        <f t="shared" si="35"/>
        <v>Q</v>
      </c>
      <c r="E34" s="54" t="str">
        <f t="shared" si="35"/>
        <v>Q</v>
      </c>
      <c r="F34" s="54" t="str">
        <f t="shared" si="35"/>
        <v>S</v>
      </c>
      <c r="G34" s="55" t="str">
        <f t="shared" si="35"/>
        <v>S</v>
      </c>
      <c r="I34" s="53" t="str">
        <f t="shared" ref="I34:O34" si="36">A34</f>
        <v>D</v>
      </c>
      <c r="J34" s="54" t="str">
        <f t="shared" si="36"/>
        <v>S</v>
      </c>
      <c r="K34" s="54" t="str">
        <f t="shared" si="36"/>
        <v>T</v>
      </c>
      <c r="L34" s="54" t="str">
        <f t="shared" si="36"/>
        <v>Q</v>
      </c>
      <c r="M34" s="54" t="str">
        <f t="shared" si="36"/>
        <v>Q</v>
      </c>
      <c r="N34" s="54" t="str">
        <f t="shared" si="36"/>
        <v>S</v>
      </c>
      <c r="O34" s="55" t="str">
        <f t="shared" si="36"/>
        <v>S</v>
      </c>
      <c r="Q34" s="53" t="str">
        <f t="shared" ref="Q34:W34" si="37">I34</f>
        <v>D</v>
      </c>
      <c r="R34" s="54" t="str">
        <f t="shared" si="37"/>
        <v>S</v>
      </c>
      <c r="S34" s="54" t="str">
        <f t="shared" si="37"/>
        <v>T</v>
      </c>
      <c r="T34" s="54" t="str">
        <f t="shared" si="37"/>
        <v>Q</v>
      </c>
      <c r="U34" s="54" t="str">
        <f t="shared" si="37"/>
        <v>Q</v>
      </c>
      <c r="V34" s="54" t="str">
        <f t="shared" si="37"/>
        <v>S</v>
      </c>
      <c r="W34" s="55" t="str">
        <f t="shared" si="37"/>
        <v>S</v>
      </c>
    </row>
    <row r="35" spans="1:23" x14ac:dyDescent="0.2">
      <c r="A35" s="57">
        <f>IF( WEEKDAY(_Out1) = MOD(COLUMN(),8), _Out1, 0 )</f>
        <v>0</v>
      </c>
      <c r="B35" s="56">
        <f t="shared" ref="B35:G35" si="38">IF( A35&gt;0, A35+1, IF( WEEKDAY(_Out1)=MOD(COLUMN(),8), _Out1, 0) )</f>
        <v>0</v>
      </c>
      <c r="C35" s="56">
        <f t="shared" si="38"/>
        <v>0</v>
      </c>
      <c r="D35" s="56">
        <f t="shared" si="38"/>
        <v>0</v>
      </c>
      <c r="E35" s="56">
        <f t="shared" si="38"/>
        <v>46296</v>
      </c>
      <c r="F35" s="56">
        <f t="shared" si="38"/>
        <v>46297</v>
      </c>
      <c r="G35" s="57">
        <f t="shared" si="38"/>
        <v>46298</v>
      </c>
      <c r="I35" s="57">
        <f>IF( WEEKDAY(_Nov1) = MOD(COLUMN(),8), _Nov1, 0 )</f>
        <v>46327</v>
      </c>
      <c r="J35" s="56">
        <f t="shared" ref="J35:O35" si="39">IF( I35&gt;0, I35+1, IF( WEEKDAY(_Nov1)=MOD(COLUMN(),8), _Nov1, 0) )</f>
        <v>46328</v>
      </c>
      <c r="K35" s="56">
        <f t="shared" si="39"/>
        <v>46329</v>
      </c>
      <c r="L35" s="56">
        <f t="shared" si="39"/>
        <v>46330</v>
      </c>
      <c r="M35" s="56">
        <f t="shared" si="39"/>
        <v>46331</v>
      </c>
      <c r="N35" s="56">
        <f t="shared" si="39"/>
        <v>46332</v>
      </c>
      <c r="O35" s="57">
        <f t="shared" si="39"/>
        <v>46333</v>
      </c>
      <c r="Q35" s="57">
        <f>IF( WEEKDAY(_Dez1) = MOD(COLUMN(),8), _Dez1, 0 )</f>
        <v>0</v>
      </c>
      <c r="R35" s="56">
        <f t="shared" ref="R35:W35" si="40">IF( Q35&gt;0, Q35+1, IF( WEEKDAY(_Dez1)=MOD(COLUMN(),8), _Dez1, 0) )</f>
        <v>0</v>
      </c>
      <c r="S35" s="56">
        <f t="shared" si="40"/>
        <v>46357</v>
      </c>
      <c r="T35" s="56">
        <f t="shared" si="40"/>
        <v>46358</v>
      </c>
      <c r="U35" s="56">
        <f t="shared" si="40"/>
        <v>46359</v>
      </c>
      <c r="V35" s="56">
        <f t="shared" si="40"/>
        <v>46360</v>
      </c>
      <c r="W35" s="57">
        <f t="shared" si="40"/>
        <v>46361</v>
      </c>
    </row>
    <row r="36" spans="1:23" x14ac:dyDescent="0.2">
      <c r="A36" s="57">
        <f>G35+1</f>
        <v>46299</v>
      </c>
      <c r="B36" s="56">
        <f t="shared" ref="B36:G38" si="41">A36+1</f>
        <v>46300</v>
      </c>
      <c r="C36" s="56">
        <f t="shared" si="41"/>
        <v>46301</v>
      </c>
      <c r="D36" s="56">
        <f t="shared" si="41"/>
        <v>46302</v>
      </c>
      <c r="E36" s="56">
        <f t="shared" si="41"/>
        <v>46303</v>
      </c>
      <c r="F36" s="56">
        <f t="shared" si="41"/>
        <v>46304</v>
      </c>
      <c r="G36" s="57">
        <f t="shared" si="41"/>
        <v>46305</v>
      </c>
      <c r="I36" s="57">
        <f>O35+1</f>
        <v>46334</v>
      </c>
      <c r="J36" s="56">
        <f t="shared" ref="J36:O38" si="42">I36+1</f>
        <v>46335</v>
      </c>
      <c r="K36" s="56">
        <f t="shared" si="42"/>
        <v>46336</v>
      </c>
      <c r="L36" s="56">
        <f t="shared" si="42"/>
        <v>46337</v>
      </c>
      <c r="M36" s="56">
        <f t="shared" si="42"/>
        <v>46338</v>
      </c>
      <c r="N36" s="56">
        <f t="shared" si="42"/>
        <v>46339</v>
      </c>
      <c r="O36" s="57">
        <f t="shared" si="42"/>
        <v>46340</v>
      </c>
      <c r="Q36" s="57">
        <f>W35+1</f>
        <v>46362</v>
      </c>
      <c r="R36" s="56">
        <f t="shared" ref="R36:W38" si="43">Q36+1</f>
        <v>46363</v>
      </c>
      <c r="S36" s="56">
        <f t="shared" si="43"/>
        <v>46364</v>
      </c>
      <c r="T36" s="56">
        <f t="shared" si="43"/>
        <v>46365</v>
      </c>
      <c r="U36" s="56">
        <f t="shared" si="43"/>
        <v>46366</v>
      </c>
      <c r="V36" s="56">
        <f t="shared" si="43"/>
        <v>46367</v>
      </c>
      <c r="W36" s="57">
        <f t="shared" si="43"/>
        <v>46368</v>
      </c>
    </row>
    <row r="37" spans="1:23" x14ac:dyDescent="0.2">
      <c r="A37" s="57">
        <f>G36+1</f>
        <v>46306</v>
      </c>
      <c r="B37" s="56">
        <f t="shared" si="41"/>
        <v>46307</v>
      </c>
      <c r="C37" s="56">
        <f t="shared" si="41"/>
        <v>46308</v>
      </c>
      <c r="D37" s="56">
        <f t="shared" si="41"/>
        <v>46309</v>
      </c>
      <c r="E37" s="56">
        <f t="shared" si="41"/>
        <v>46310</v>
      </c>
      <c r="F37" s="56">
        <f t="shared" si="41"/>
        <v>46311</v>
      </c>
      <c r="G37" s="57">
        <f t="shared" si="41"/>
        <v>46312</v>
      </c>
      <c r="I37" s="57">
        <f>O36+1</f>
        <v>46341</v>
      </c>
      <c r="J37" s="56">
        <f t="shared" si="42"/>
        <v>46342</v>
      </c>
      <c r="K37" s="56">
        <f t="shared" si="42"/>
        <v>46343</v>
      </c>
      <c r="L37" s="56">
        <f t="shared" si="42"/>
        <v>46344</v>
      </c>
      <c r="M37" s="56">
        <f t="shared" si="42"/>
        <v>46345</v>
      </c>
      <c r="N37" s="56">
        <f t="shared" si="42"/>
        <v>46346</v>
      </c>
      <c r="O37" s="57">
        <f t="shared" si="42"/>
        <v>46347</v>
      </c>
      <c r="Q37" s="57">
        <f>W36+1</f>
        <v>46369</v>
      </c>
      <c r="R37" s="56">
        <f t="shared" si="43"/>
        <v>46370</v>
      </c>
      <c r="S37" s="56">
        <f t="shared" si="43"/>
        <v>46371</v>
      </c>
      <c r="T37" s="56">
        <f t="shared" si="43"/>
        <v>46372</v>
      </c>
      <c r="U37" s="56">
        <f t="shared" si="43"/>
        <v>46373</v>
      </c>
      <c r="V37" s="56">
        <f t="shared" si="43"/>
        <v>46374</v>
      </c>
      <c r="W37" s="57">
        <f t="shared" si="43"/>
        <v>46375</v>
      </c>
    </row>
    <row r="38" spans="1:23" x14ac:dyDescent="0.2">
      <c r="A38" s="57">
        <f>G37+1</f>
        <v>46313</v>
      </c>
      <c r="B38" s="56">
        <f t="shared" si="41"/>
        <v>46314</v>
      </c>
      <c r="C38" s="56">
        <f t="shared" si="41"/>
        <v>46315</v>
      </c>
      <c r="D38" s="56">
        <f t="shared" si="41"/>
        <v>46316</v>
      </c>
      <c r="E38" s="56">
        <f t="shared" si="41"/>
        <v>46317</v>
      </c>
      <c r="F38" s="56">
        <f t="shared" si="41"/>
        <v>46318</v>
      </c>
      <c r="G38" s="57">
        <f t="shared" si="41"/>
        <v>46319</v>
      </c>
      <c r="I38" s="57">
        <f>O37+1</f>
        <v>46348</v>
      </c>
      <c r="J38" s="56">
        <f t="shared" si="42"/>
        <v>46349</v>
      </c>
      <c r="K38" s="56">
        <f t="shared" si="42"/>
        <v>46350</v>
      </c>
      <c r="L38" s="56">
        <f t="shared" si="42"/>
        <v>46351</v>
      </c>
      <c r="M38" s="56">
        <f t="shared" si="42"/>
        <v>46352</v>
      </c>
      <c r="N38" s="56">
        <f t="shared" si="42"/>
        <v>46353</v>
      </c>
      <c r="O38" s="57">
        <f t="shared" si="42"/>
        <v>46354</v>
      </c>
      <c r="Q38" s="57">
        <f>W37+1</f>
        <v>46376</v>
      </c>
      <c r="R38" s="56">
        <f t="shared" si="43"/>
        <v>46377</v>
      </c>
      <c r="S38" s="56">
        <f t="shared" si="43"/>
        <v>46378</v>
      </c>
      <c r="T38" s="56">
        <f t="shared" si="43"/>
        <v>46379</v>
      </c>
      <c r="U38" s="56">
        <f t="shared" si="43"/>
        <v>46380</v>
      </c>
      <c r="V38" s="56">
        <f t="shared" si="43"/>
        <v>46381</v>
      </c>
      <c r="W38" s="57">
        <f t="shared" si="43"/>
        <v>46382</v>
      </c>
    </row>
    <row r="39" spans="1:23" x14ac:dyDescent="0.2">
      <c r="A39" s="57">
        <f>IF( MONTH(G38+1) = MONTH(_Out1), G38+1, 0 )</f>
        <v>46320</v>
      </c>
      <c r="B39" s="56">
        <f t="shared" ref="B39:G40" si="44">IF( A39=0, 0, IF( MONTH(A39+1) = MONTH(_Out1), A39+1, 0 ) )</f>
        <v>46321</v>
      </c>
      <c r="C39" s="56">
        <f t="shared" si="44"/>
        <v>46322</v>
      </c>
      <c r="D39" s="56">
        <f t="shared" si="44"/>
        <v>46323</v>
      </c>
      <c r="E39" s="56">
        <f t="shared" si="44"/>
        <v>46324</v>
      </c>
      <c r="F39" s="56">
        <f t="shared" si="44"/>
        <v>46325</v>
      </c>
      <c r="G39" s="57">
        <f t="shared" si="44"/>
        <v>46326</v>
      </c>
      <c r="I39" s="57">
        <f>IF( MONTH(O38+1) = MONTH(_Nov1), O38+1, 0 )</f>
        <v>46355</v>
      </c>
      <c r="J39" s="56">
        <f t="shared" ref="J39:O40" si="45">IF( I39=0, 0, IF( MONTH(I39+1) = MONTH(_Nov1), I39+1, 0 ) )</f>
        <v>46356</v>
      </c>
      <c r="K39" s="56">
        <f t="shared" si="45"/>
        <v>0</v>
      </c>
      <c r="L39" s="56">
        <f t="shared" si="45"/>
        <v>0</v>
      </c>
      <c r="M39" s="56">
        <f t="shared" si="45"/>
        <v>0</v>
      </c>
      <c r="N39" s="56">
        <f t="shared" si="45"/>
        <v>0</v>
      </c>
      <c r="O39" s="57">
        <f t="shared" si="45"/>
        <v>0</v>
      </c>
      <c r="Q39" s="57">
        <f>IF( MONTH(W38+1) = MONTH(_Dez1), W38+1, 0 )</f>
        <v>46383</v>
      </c>
      <c r="R39" s="56">
        <f t="shared" ref="R39:W40" si="46">IF( Q39=0, 0, IF( MONTH(Q39+1) = MONTH(_Dez1), Q39+1, 0 ) )</f>
        <v>46384</v>
      </c>
      <c r="S39" s="56">
        <f t="shared" si="46"/>
        <v>46385</v>
      </c>
      <c r="T39" s="56">
        <f t="shared" si="46"/>
        <v>46386</v>
      </c>
      <c r="U39" s="56">
        <f t="shared" si="46"/>
        <v>46387</v>
      </c>
      <c r="V39" s="56">
        <f t="shared" si="46"/>
        <v>0</v>
      </c>
      <c r="W39" s="57">
        <f t="shared" si="46"/>
        <v>0</v>
      </c>
    </row>
    <row r="40" spans="1:23" x14ac:dyDescent="0.2">
      <c r="A40" s="57">
        <f>IF( G39=0, 0, IF( MONTH(G39+1) = MONTH(_Out1), G39+1, 0 ) )</f>
        <v>0</v>
      </c>
      <c r="B40" s="56">
        <f t="shared" si="44"/>
        <v>0</v>
      </c>
      <c r="C40" s="56">
        <f t="shared" si="44"/>
        <v>0</v>
      </c>
      <c r="D40" s="56">
        <f t="shared" si="44"/>
        <v>0</v>
      </c>
      <c r="E40" s="56">
        <f t="shared" si="44"/>
        <v>0</v>
      </c>
      <c r="F40" s="56">
        <f t="shared" si="44"/>
        <v>0</v>
      </c>
      <c r="G40" s="57">
        <f t="shared" si="44"/>
        <v>0</v>
      </c>
      <c r="I40" s="57">
        <f>IF( O39=0, 0, IF( MONTH(O39+1) = MONTH(_Nov1), O39+1, 0 ) )</f>
        <v>0</v>
      </c>
      <c r="J40" s="56">
        <f t="shared" si="45"/>
        <v>0</v>
      </c>
      <c r="K40" s="56">
        <f t="shared" si="45"/>
        <v>0</v>
      </c>
      <c r="L40" s="56">
        <f t="shared" si="45"/>
        <v>0</v>
      </c>
      <c r="M40" s="56">
        <f t="shared" si="45"/>
        <v>0</v>
      </c>
      <c r="N40" s="56">
        <f t="shared" si="45"/>
        <v>0</v>
      </c>
      <c r="O40" s="57">
        <f t="shared" si="45"/>
        <v>0</v>
      </c>
      <c r="Q40" s="57">
        <f>IF( W39=0, 0, IF( MONTH(W39+1) = MONTH(_Dez1), W39+1, 0 ) )</f>
        <v>0</v>
      </c>
      <c r="R40" s="56">
        <f t="shared" si="46"/>
        <v>0</v>
      </c>
      <c r="S40" s="56">
        <f t="shared" si="46"/>
        <v>0</v>
      </c>
      <c r="T40" s="56">
        <f t="shared" si="46"/>
        <v>0</v>
      </c>
      <c r="U40" s="56">
        <f t="shared" si="46"/>
        <v>0</v>
      </c>
      <c r="V40" s="56">
        <f t="shared" si="46"/>
        <v>0</v>
      </c>
      <c r="W40" s="57">
        <f t="shared" si="46"/>
        <v>0</v>
      </c>
    </row>
    <row r="41" spans="1:23" x14ac:dyDescent="0.2"/>
    <row r="42" spans="1:23" x14ac:dyDescent="0.2"/>
    <row r="43" spans="1:23" x14ac:dyDescent="0.2"/>
  </sheetData>
  <sheetProtection algorithmName="SHA-512" hashValue="0Arq6lryH/5674iZJ8FC1pld1InRsVx1tDKTHFLUO6N6gWmW3XvE9fR5lHtPUXBBkPwsnejvZa40UNp93fjzgQ==" saltValue="SWHFC2vrdhpSTpnwJGqujw==" spinCount="100000" sheet="1" objects="1" scenarios="1"/>
  <mergeCells count="1">
    <mergeCell ref="C2:E2"/>
  </mergeCells>
  <conditionalFormatting sqref="A8:G13 I8:O13 Q8:W13 A17:G22 I17:O22 Q17:W22 A26:G31 I26:O31 Q26:W31 A35:G40 I35:O40 Q35:W40">
    <cfRule type="expression" dxfId="2" priority="1" stopIfTrue="1">
      <formula xml:space="preserve"> AND( Exibir_Fer_Nac, MATCH(A8, _Brz1, 0) &gt; 0 )</formula>
    </cfRule>
    <cfRule type="expression" dxfId="1" priority="2" stopIfTrue="1">
      <formula xml:space="preserve"> AND( Exibir_Dat_Com, MATCH(A8, _Brz2, 0) &gt; 0 )</formula>
    </cfRule>
    <cfRule type="expression" dxfId="0" priority="3" stopIfTrue="1">
      <formula xml:space="preserve"> AND( Exibir_Fer_EUA, MATCH(A8, USA, 0) &gt; 0 )</formula>
    </cfRule>
  </conditionalFormatting>
  <dataValidations disablePrompts="1" count="1">
    <dataValidation type="whole" allowBlank="1" showErrorMessage="1" sqref="C2:E2" xr:uid="{00000000-0002-0000-0200-000000000000}">
      <formula1>1900</formula1>
      <formula2>2050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Spinner 1">
              <controlPr defaultSize="0" print="0" autoPict="0">
                <anchor moveWithCells="1" sizeWithCells="1">
                  <from>
                    <xdr:col>5</xdr:col>
                    <xdr:colOff>19050</xdr:colOff>
                    <xdr:row>0</xdr:row>
                    <xdr:rowOff>161925</xdr:rowOff>
                  </from>
                  <to>
                    <xdr:col>6</xdr:col>
                    <xdr:colOff>9525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Group Box 2">
              <controlPr defaultSize="0" print="0" autoFill="0" autoPict="0">
                <anchor moveWithCells="1">
                  <from>
                    <xdr:col>6</xdr:col>
                    <xdr:colOff>85725</xdr:colOff>
                    <xdr:row>0</xdr:row>
                    <xdr:rowOff>95250</xdr:rowOff>
                  </from>
                  <to>
                    <xdr:col>22</xdr:col>
                    <xdr:colOff>152400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print="0" autoFill="0" autoLine="0" autoPict="0">
                <anchor moveWithCells="1">
                  <from>
                    <xdr:col>17</xdr:col>
                    <xdr:colOff>133350</xdr:colOff>
                    <xdr:row>0</xdr:row>
                    <xdr:rowOff>161925</xdr:rowOff>
                  </from>
                  <to>
                    <xdr:col>22</xdr:col>
                    <xdr:colOff>47625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print="0" autoFill="0" autoLine="0" autoPict="0">
                <anchor moveWithCells="1">
                  <from>
                    <xdr:col>11</xdr:col>
                    <xdr:colOff>228600</xdr:colOff>
                    <xdr:row>0</xdr:row>
                    <xdr:rowOff>161925</xdr:rowOff>
                  </from>
                  <to>
                    <xdr:col>16</xdr:col>
                    <xdr:colOff>238125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print="0" autoFill="0" autoLine="0" autoPict="0">
                <anchor moveWithCells="1">
                  <from>
                    <xdr:col>6</xdr:col>
                    <xdr:colOff>180975</xdr:colOff>
                    <xdr:row>0</xdr:row>
                    <xdr:rowOff>161925</xdr:rowOff>
                  </from>
                  <to>
                    <xdr:col>11</xdr:col>
                    <xdr:colOff>95250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2"/>
  <dimension ref="A1:D34"/>
  <sheetViews>
    <sheetView showGridLines="0" showRowColHeaders="0" workbookViewId="0">
      <selection activeCell="F32" sqref="F32"/>
    </sheetView>
  </sheetViews>
  <sheetFormatPr defaultColWidth="9.140625" defaultRowHeight="12.75" x14ac:dyDescent="0.2"/>
  <cols>
    <col min="1" max="1" width="30.7109375" style="6" customWidth="1"/>
    <col min="2" max="2" width="24.7109375" style="6" customWidth="1"/>
    <col min="3" max="3" width="8.7109375" style="7" customWidth="1"/>
    <col min="4" max="4" width="28.7109375" style="8" customWidth="1"/>
    <col min="5" max="16384" width="9.140625" style="6"/>
  </cols>
  <sheetData>
    <row r="1" spans="1:4" ht="19.5" x14ac:dyDescent="0.25">
      <c r="A1" s="5" t="str">
        <f>"Tabelas de Feriados em "&amp;ano</f>
        <v>Tabelas de Feriados em 2026</v>
      </c>
    </row>
    <row r="2" spans="1:4" ht="13.5" thickBot="1" x14ac:dyDescent="0.25"/>
    <row r="3" spans="1:4" ht="15" x14ac:dyDescent="0.2">
      <c r="A3" s="9" t="s">
        <v>21</v>
      </c>
      <c r="B3" s="10" t="s">
        <v>10</v>
      </c>
      <c r="C3" s="11" t="s">
        <v>22</v>
      </c>
      <c r="D3" s="12" t="s">
        <v>23</v>
      </c>
    </row>
    <row r="4" spans="1:4" x14ac:dyDescent="0.2">
      <c r="A4" s="13" t="s">
        <v>24</v>
      </c>
      <c r="B4" s="14">
        <f>DATE(ano,1,1)</f>
        <v>46023</v>
      </c>
      <c r="C4" s="15" t="s">
        <v>25</v>
      </c>
      <c r="D4" s="16" t="s">
        <v>26</v>
      </c>
    </row>
    <row r="5" spans="1:4" x14ac:dyDescent="0.2">
      <c r="A5" s="13" t="s">
        <v>27</v>
      </c>
      <c r="B5" s="14">
        <f>Páscoa-2</f>
        <v>46128</v>
      </c>
      <c r="C5" s="15" t="s">
        <v>28</v>
      </c>
      <c r="D5" s="16" t="s">
        <v>29</v>
      </c>
    </row>
    <row r="6" spans="1:4" x14ac:dyDescent="0.2">
      <c r="A6" s="17" t="s">
        <v>30</v>
      </c>
      <c r="B6" s="14">
        <f>IF(MOD(ano,19)&gt;10,DATE(ano,4,18),IF(DAY(DATE(ano,3,22)+MOD(19*MOD(ano,19)+24,30)+MOD(6*MOD(19*MOD(ano,19)+24,30)+4*MOD(ano,7)+2*MOD(ano,4)+5,7))=26,DATE(ano,4,19),DATE(ano,3,22)+MOD(19*MOD(ano,19)+24,30)+MOD(6*MOD(19*MOD(ano,19)+24,30)+4*MOD(ano,7)+2*MOD(ano,4)+5,7)))</f>
        <v>46130</v>
      </c>
      <c r="C6" s="15" t="s">
        <v>28</v>
      </c>
      <c r="D6" s="16" t="s">
        <v>31</v>
      </c>
    </row>
    <row r="7" spans="1:4" x14ac:dyDescent="0.2">
      <c r="A7" s="13" t="s">
        <v>32</v>
      </c>
      <c r="B7" s="14">
        <f>DATE(ano,4,21)</f>
        <v>46133</v>
      </c>
      <c r="C7" s="15" t="s">
        <v>25</v>
      </c>
      <c r="D7" s="16" t="s">
        <v>33</v>
      </c>
    </row>
    <row r="8" spans="1:4" x14ac:dyDescent="0.2">
      <c r="A8" s="13" t="s">
        <v>34</v>
      </c>
      <c r="B8" s="14">
        <f>DATE(ano,5,1)</f>
        <v>46143</v>
      </c>
      <c r="C8" s="15" t="s">
        <v>25</v>
      </c>
      <c r="D8" s="16" t="s">
        <v>35</v>
      </c>
    </row>
    <row r="9" spans="1:4" x14ac:dyDescent="0.2">
      <c r="A9" s="13" t="s">
        <v>36</v>
      </c>
      <c r="B9" s="14">
        <f>Páscoa+60</f>
        <v>46190</v>
      </c>
      <c r="C9" s="15" t="s">
        <v>28</v>
      </c>
      <c r="D9" s="16" t="s">
        <v>37</v>
      </c>
    </row>
    <row r="10" spans="1:4" x14ac:dyDescent="0.2">
      <c r="A10" s="13" t="s">
        <v>38</v>
      </c>
      <c r="B10" s="14">
        <f>DATE(ano,9,7)</f>
        <v>46272</v>
      </c>
      <c r="C10" s="15" t="s">
        <v>25</v>
      </c>
      <c r="D10" s="16" t="s">
        <v>39</v>
      </c>
    </row>
    <row r="11" spans="1:4" x14ac:dyDescent="0.2">
      <c r="A11" s="13" t="s">
        <v>40</v>
      </c>
      <c r="B11" s="14">
        <f>DATE(ano,10,12)</f>
        <v>46307</v>
      </c>
      <c r="C11" s="15" t="s">
        <v>25</v>
      </c>
      <c r="D11" s="16" t="s">
        <v>41</v>
      </c>
    </row>
    <row r="12" spans="1:4" x14ac:dyDescent="0.2">
      <c r="A12" s="13" t="s">
        <v>42</v>
      </c>
      <c r="B12" s="14">
        <f>DATE(ano,11,2)</f>
        <v>46328</v>
      </c>
      <c r="C12" s="15" t="s">
        <v>25</v>
      </c>
      <c r="D12" s="16" t="s">
        <v>43</v>
      </c>
    </row>
    <row r="13" spans="1:4" x14ac:dyDescent="0.2">
      <c r="A13" s="13" t="s">
        <v>44</v>
      </c>
      <c r="B13" s="14">
        <f>DATE(ano,11,15)</f>
        <v>46341</v>
      </c>
      <c r="C13" s="15" t="s">
        <v>25</v>
      </c>
      <c r="D13" s="16" t="s">
        <v>45</v>
      </c>
    </row>
    <row r="14" spans="1:4" ht="13.5" thickBot="1" x14ac:dyDescent="0.25">
      <c r="A14" s="18" t="s">
        <v>46</v>
      </c>
      <c r="B14" s="19">
        <f>DATE(ano,12,25)</f>
        <v>46381</v>
      </c>
      <c r="C14" s="20" t="s">
        <v>25</v>
      </c>
      <c r="D14" s="21" t="s">
        <v>47</v>
      </c>
    </row>
    <row r="15" spans="1:4" ht="13.5" thickBot="1" x14ac:dyDescent="0.25"/>
    <row r="16" spans="1:4" ht="15" x14ac:dyDescent="0.2">
      <c r="A16" s="22" t="s">
        <v>48</v>
      </c>
      <c r="B16" s="23" t="s">
        <v>10</v>
      </c>
      <c r="C16" s="23" t="s">
        <v>22</v>
      </c>
      <c r="D16" s="24" t="s">
        <v>23</v>
      </c>
    </row>
    <row r="17" spans="1:4" x14ac:dyDescent="0.2">
      <c r="A17" s="25" t="s">
        <v>49</v>
      </c>
      <c r="B17" s="26">
        <f>Páscoa-47</f>
        <v>46083</v>
      </c>
      <c r="C17" s="27" t="s">
        <v>28</v>
      </c>
      <c r="D17" s="28" t="s">
        <v>50</v>
      </c>
    </row>
    <row r="18" spans="1:4" x14ac:dyDescent="0.2">
      <c r="A18" s="25" t="s">
        <v>51</v>
      </c>
      <c r="B18" s="26">
        <f>Páscoa-7</f>
        <v>46123</v>
      </c>
      <c r="C18" s="27" t="s">
        <v>28</v>
      </c>
      <c r="D18" s="28" t="s">
        <v>52</v>
      </c>
    </row>
    <row r="19" spans="1:4" x14ac:dyDescent="0.2">
      <c r="A19" s="25" t="s">
        <v>53</v>
      </c>
      <c r="B19" s="26">
        <f>Páscoa-1</f>
        <v>46129</v>
      </c>
      <c r="C19" s="27" t="s">
        <v>28</v>
      </c>
      <c r="D19" s="28" t="s">
        <v>54</v>
      </c>
    </row>
    <row r="20" spans="1:4" x14ac:dyDescent="0.2">
      <c r="A20" s="25" t="s">
        <v>55</v>
      </c>
      <c r="B20" s="26">
        <f>DATE(ano,5,1)+IF(1&lt;WEEKDAY(DATE(ano,5,1)),7-WEEKDAY(DATE(ano,5,1))+1,1-WEEKDAY(DATE(ano,5,1)))+(2-1)*7</f>
        <v>46152</v>
      </c>
      <c r="C20" s="27" t="s">
        <v>28</v>
      </c>
      <c r="D20" s="28" t="s">
        <v>56</v>
      </c>
    </row>
    <row r="21" spans="1:4" x14ac:dyDescent="0.2">
      <c r="A21" s="25" t="s">
        <v>57</v>
      </c>
      <c r="B21" s="26">
        <f>DATE(ano,6,12)</f>
        <v>46185</v>
      </c>
      <c r="C21" s="27" t="s">
        <v>25</v>
      </c>
      <c r="D21" s="28" t="s">
        <v>58</v>
      </c>
    </row>
    <row r="22" spans="1:4" x14ac:dyDescent="0.2">
      <c r="A22" s="25" t="s">
        <v>59</v>
      </c>
      <c r="B22" s="26">
        <f>DATE(ano,10,12)</f>
        <v>46307</v>
      </c>
      <c r="C22" s="27" t="s">
        <v>25</v>
      </c>
      <c r="D22" s="28" t="s">
        <v>41</v>
      </c>
    </row>
    <row r="23" spans="1:4" x14ac:dyDescent="0.2">
      <c r="A23" s="25" t="s">
        <v>60</v>
      </c>
      <c r="B23" s="26">
        <f>DATE(ano,8,1)+IF(1&lt;WEEKDAY(DATE(ano,8,1)),7-WEEKDAY(DATE(ano,8,1))+1,1-WEEKDAY(DATE(ano,8,1)))+(2-1)*7</f>
        <v>46243</v>
      </c>
      <c r="C23" s="27" t="s">
        <v>28</v>
      </c>
      <c r="D23" s="28" t="s">
        <v>61</v>
      </c>
    </row>
    <row r="24" spans="1:4" ht="13.5" thickBot="1" x14ac:dyDescent="0.25">
      <c r="A24" s="29" t="s">
        <v>62</v>
      </c>
      <c r="B24" s="30">
        <f>DATE(ano,9,30)</f>
        <v>46295</v>
      </c>
      <c r="C24" s="31" t="s">
        <v>25</v>
      </c>
      <c r="D24" s="32" t="s">
        <v>63</v>
      </c>
    </row>
    <row r="25" spans="1:4" ht="13.5" thickBot="1" x14ac:dyDescent="0.25"/>
    <row r="26" spans="1:4" ht="15" x14ac:dyDescent="0.2">
      <c r="A26" s="33" t="s">
        <v>64</v>
      </c>
      <c r="B26" s="34" t="s">
        <v>10</v>
      </c>
      <c r="C26" s="34" t="s">
        <v>22</v>
      </c>
      <c r="D26" s="35" t="s">
        <v>23</v>
      </c>
    </row>
    <row r="27" spans="1:4" x14ac:dyDescent="0.2">
      <c r="A27" s="36" t="s">
        <v>65</v>
      </c>
      <c r="B27" s="37">
        <f>DATE(ano,1,21)-MOD(DATE(ano,1,5),7)</f>
        <v>46041</v>
      </c>
      <c r="C27" s="38" t="s">
        <v>28</v>
      </c>
      <c r="D27" s="39" t="s">
        <v>66</v>
      </c>
    </row>
    <row r="28" spans="1:4" x14ac:dyDescent="0.2">
      <c r="A28" s="36" t="s">
        <v>67</v>
      </c>
      <c r="B28" s="37">
        <f>DATE(ano,2,21)-MOD(DATE(ano,2,21)-2,7)</f>
        <v>46069</v>
      </c>
      <c r="C28" s="38" t="s">
        <v>28</v>
      </c>
      <c r="D28" s="39" t="s">
        <v>68</v>
      </c>
    </row>
    <row r="29" spans="1:4" x14ac:dyDescent="0.2">
      <c r="A29" s="36" t="s">
        <v>69</v>
      </c>
      <c r="B29" s="37">
        <f>DATE(ano,5,31)-MOD(DATE(ano,5,31)-2,7)</f>
        <v>46167</v>
      </c>
      <c r="C29" s="38" t="s">
        <v>28</v>
      </c>
      <c r="D29" s="39" t="s">
        <v>70</v>
      </c>
    </row>
    <row r="30" spans="1:4" x14ac:dyDescent="0.2">
      <c r="A30" s="36" t="s">
        <v>71</v>
      </c>
      <c r="B30" s="37">
        <f>DATE(ano,7,4)</f>
        <v>46207</v>
      </c>
      <c r="C30" s="38" t="s">
        <v>25</v>
      </c>
      <c r="D30" s="39" t="s">
        <v>72</v>
      </c>
    </row>
    <row r="31" spans="1:4" x14ac:dyDescent="0.2">
      <c r="A31" s="36" t="s">
        <v>73</v>
      </c>
      <c r="B31" s="37">
        <f>DATE(ano,9,7)-MOD(DATE(ano,9,7)-2,7)</f>
        <v>46272</v>
      </c>
      <c r="C31" s="38" t="s">
        <v>28</v>
      </c>
      <c r="D31" s="39" t="s">
        <v>74</v>
      </c>
    </row>
    <row r="32" spans="1:4" x14ac:dyDescent="0.2">
      <c r="A32" s="36" t="s">
        <v>75</v>
      </c>
      <c r="B32" s="37">
        <f>DATE(ano,10,1)+IF(2&lt;WEEKDAY(DATE(ano,10,1)),7-WEEKDAY(DATE(ano,10,1))+2,2-WEEKDAY(DATE(ano,10,1)))+((2-1)*7)</f>
        <v>46307</v>
      </c>
      <c r="C32" s="38" t="s">
        <v>28</v>
      </c>
      <c r="D32" s="39" t="s">
        <v>76</v>
      </c>
    </row>
    <row r="33" spans="1:4" x14ac:dyDescent="0.2">
      <c r="A33" s="40" t="s">
        <v>77</v>
      </c>
      <c r="B33" s="41">
        <f>DATE(ano,11,11)</f>
        <v>46337</v>
      </c>
      <c r="C33" s="42" t="s">
        <v>25</v>
      </c>
      <c r="D33" s="39" t="s">
        <v>78</v>
      </c>
    </row>
    <row r="34" spans="1:4" ht="13.5" thickBot="1" x14ac:dyDescent="0.25">
      <c r="A34" s="43" t="s">
        <v>79</v>
      </c>
      <c r="B34" s="44">
        <f>DATE(ano,11,28)-MOD(DATE(ano,11,28)-5,7)</f>
        <v>46352</v>
      </c>
      <c r="C34" s="45" t="s">
        <v>28</v>
      </c>
      <c r="D34" s="46" t="s">
        <v>80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24</vt:i4>
      </vt:variant>
    </vt:vector>
  </HeadingPairs>
  <TitlesOfParts>
    <vt:vector size="28" baseType="lpstr">
      <vt:lpstr>Roteiros</vt:lpstr>
      <vt:lpstr>Passeios</vt:lpstr>
      <vt:lpstr>Calendario</vt:lpstr>
      <vt:lpstr>Feriados</vt:lpstr>
      <vt:lpstr>_Abr1</vt:lpstr>
      <vt:lpstr>_Ago1</vt:lpstr>
      <vt:lpstr>_Brz1</vt:lpstr>
      <vt:lpstr>_Brz2</vt:lpstr>
      <vt:lpstr>_Dez1</vt:lpstr>
      <vt:lpstr>_Fev1</vt:lpstr>
      <vt:lpstr>_Jan1</vt:lpstr>
      <vt:lpstr>_Jul1</vt:lpstr>
      <vt:lpstr>_Jun1</vt:lpstr>
      <vt:lpstr>_Mai1</vt:lpstr>
      <vt:lpstr>_Mar1</vt:lpstr>
      <vt:lpstr>_Nov1</vt:lpstr>
      <vt:lpstr>_Out1</vt:lpstr>
      <vt:lpstr>_Set1</vt:lpstr>
      <vt:lpstr>ano</vt:lpstr>
      <vt:lpstr>Calendario!Area_de_impressao</vt:lpstr>
      <vt:lpstr>Passeios!Area_de_impressao</vt:lpstr>
      <vt:lpstr>Roteiros!Area_de_impressao</vt:lpstr>
      <vt:lpstr>Exibir_Dat_Com</vt:lpstr>
      <vt:lpstr>Exibir_Fer_EUA</vt:lpstr>
      <vt:lpstr>Exibir_Fer_Nac</vt:lpstr>
      <vt:lpstr>Meses</vt:lpstr>
      <vt:lpstr>Páscoa</vt:lpstr>
      <vt:lpstr>USA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Alcioni</dc:creator>
  <cp:lastModifiedBy>Alcioni Marcio Fritz</cp:lastModifiedBy>
  <cp:lastPrinted>2019-02-06T00:48:42Z</cp:lastPrinted>
  <dcterms:created xsi:type="dcterms:W3CDTF">2009-11-15T14:27:23Z</dcterms:created>
  <dcterms:modified xsi:type="dcterms:W3CDTF">2026-04-22T14:33:30Z</dcterms:modified>
</cp:coreProperties>
</file>